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ed2132da9f1d29/1A_Kukklub_Dolgoz/Kukklub_2014_0301/Tevékenység/AgrInfo/Fajtakísérletezés/TOP20/Top20_K/Top2025/Top20_Öko_2025/"/>
    </mc:Choice>
  </mc:AlternateContent>
  <xr:revisionPtr revIDLastSave="495" documentId="8_{B112AF67-1E85-4B1B-9506-44BDBF4E81D3}" xr6:coauthVersionLast="47" xr6:coauthVersionMax="47" xr10:uidLastSave="{CFC7EF3C-7E80-4976-B486-0B735205B2FA}"/>
  <workbookProtection lockStructure="1"/>
  <bookViews>
    <workbookView xWindow="-108" yWindow="-108" windowWidth="23256" windowHeight="12456" activeTab="1" xr2:uid="{EAAE0B03-FB93-45D2-BC97-F41D099C8355}"/>
  </bookViews>
  <sheets>
    <sheet name="info" sheetId="2" r:id="rId1"/>
    <sheet name="Trend" sheetId="1" r:id="rId2"/>
    <sheet name="KRITÉRIUM" sheetId="6" state="hidden" r:id="rId3"/>
    <sheet name="Adatok" sheetId="5" state="hidden" r:id="rId4"/>
    <sheet name="Dia" sheetId="4" state="hidden" r:id="rId5"/>
  </sheets>
  <externalReferences>
    <externalReference r:id="rId6"/>
    <externalReference r:id="rId7"/>
  </externalReferences>
  <definedNames>
    <definedName name="_xlnm._FilterDatabase" localSheetId="3" hidden="1">Adatok!$A$1:$Q$35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5" l="1"/>
  <c r="J14" i="5" s="1"/>
  <c r="Z13" i="5"/>
  <c r="M2" i="5"/>
  <c r="A15" i="1"/>
  <c r="A14" i="1"/>
  <c r="M22" i="5"/>
  <c r="M26" i="5"/>
  <c r="M30" i="5"/>
  <c r="S18" i="5"/>
  <c r="S3" i="5"/>
  <c r="E3" i="5" s="1"/>
  <c r="S4" i="5"/>
  <c r="E4" i="5" s="1"/>
  <c r="S5" i="5"/>
  <c r="E5" i="5" s="1"/>
  <c r="S6" i="5"/>
  <c r="E6" i="5" s="1"/>
  <c r="S7" i="5"/>
  <c r="E7" i="5" s="1"/>
  <c r="S8" i="5"/>
  <c r="E8" i="5" s="1"/>
  <c r="S9" i="5"/>
  <c r="S10" i="5"/>
  <c r="S11" i="5"/>
  <c r="S12" i="5"/>
  <c r="S13" i="5"/>
  <c r="S14" i="5"/>
  <c r="S15" i="5"/>
  <c r="S16" i="5"/>
  <c r="S17" i="5"/>
  <c r="AC3" i="5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2" i="5"/>
  <c r="M33" i="5"/>
  <c r="M34" i="5"/>
  <c r="M35" i="5"/>
  <c r="M17" i="5"/>
  <c r="M15" i="5"/>
  <c r="M16" i="5"/>
  <c r="M19" i="5"/>
  <c r="M20" i="5"/>
  <c r="M21" i="5"/>
  <c r="M23" i="5"/>
  <c r="M24" i="5"/>
  <c r="M25" i="5"/>
  <c r="M27" i="5"/>
  <c r="M28" i="5"/>
  <c r="M29" i="5"/>
  <c r="M31" i="5"/>
  <c r="M32" i="5"/>
  <c r="M18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B4" i="5"/>
  <c r="B8" i="5"/>
  <c r="B12" i="5"/>
  <c r="B16" i="5"/>
  <c r="B21" i="5"/>
  <c r="B25" i="5"/>
  <c r="B30" i="5"/>
  <c r="C4" i="5"/>
  <c r="C8" i="5"/>
  <c r="C12" i="5"/>
  <c r="C16" i="5"/>
  <c r="C21" i="5"/>
  <c r="C25" i="5"/>
  <c r="C30" i="5"/>
  <c r="A3" i="5"/>
  <c r="B3" i="5" s="1"/>
  <c r="A4" i="5"/>
  <c r="A5" i="5"/>
  <c r="B5" i="5" s="1"/>
  <c r="A6" i="5"/>
  <c r="B6" i="5" s="1"/>
  <c r="A7" i="5"/>
  <c r="B7" i="5" s="1"/>
  <c r="A8" i="5"/>
  <c r="A9" i="5"/>
  <c r="B9" i="5" s="1"/>
  <c r="A10" i="5"/>
  <c r="B10" i="5" s="1"/>
  <c r="A11" i="5"/>
  <c r="B11" i="5" s="1"/>
  <c r="A12" i="5"/>
  <c r="A13" i="5"/>
  <c r="B13" i="5" s="1"/>
  <c r="A14" i="5"/>
  <c r="B14" i="5" s="1"/>
  <c r="A15" i="5"/>
  <c r="B15" i="5" s="1"/>
  <c r="A16" i="5"/>
  <c r="A17" i="5"/>
  <c r="B17" i="5" s="1"/>
  <c r="A18" i="5"/>
  <c r="B18" i="5" s="1"/>
  <c r="A19" i="5"/>
  <c r="C19" i="5" s="1"/>
  <c r="A20" i="5"/>
  <c r="B20" i="5" s="1"/>
  <c r="A21" i="5"/>
  <c r="A22" i="5"/>
  <c r="B22" i="5" s="1"/>
  <c r="A23" i="5"/>
  <c r="B23" i="5" s="1"/>
  <c r="A24" i="5"/>
  <c r="B24" i="5" s="1"/>
  <c r="A25" i="5"/>
  <c r="A26" i="5"/>
  <c r="B26" i="5" s="1"/>
  <c r="A27" i="5"/>
  <c r="B27" i="5" s="1"/>
  <c r="A28" i="5"/>
  <c r="B28" i="5" s="1"/>
  <c r="A29" i="5"/>
  <c r="B29" i="5" s="1"/>
  <c r="A30" i="5"/>
  <c r="A31" i="5"/>
  <c r="B31" i="5" s="1"/>
  <c r="A32" i="5"/>
  <c r="B32" i="5" s="1"/>
  <c r="A33" i="5"/>
  <c r="B33" i="5" s="1"/>
  <c r="A34" i="5"/>
  <c r="B34" i="5" s="1"/>
  <c r="A35" i="5"/>
  <c r="B35" i="5" s="1"/>
  <c r="AB3" i="5"/>
  <c r="K3" i="5" s="1"/>
  <c r="AB4" i="5"/>
  <c r="K4" i="5" s="1"/>
  <c r="AB5" i="5"/>
  <c r="K5" i="5" s="1"/>
  <c r="AB6" i="5"/>
  <c r="K6" i="5" s="1"/>
  <c r="AB7" i="5"/>
  <c r="K7" i="5" s="1"/>
  <c r="AB8" i="5"/>
  <c r="K8" i="5" s="1"/>
  <c r="AB9" i="5"/>
  <c r="K9" i="5" s="1"/>
  <c r="AB10" i="5"/>
  <c r="K10" i="5" s="1"/>
  <c r="AB11" i="5"/>
  <c r="K11" i="5" s="1"/>
  <c r="AB12" i="5"/>
  <c r="K12" i="5" s="1"/>
  <c r="AB13" i="5"/>
  <c r="K13" i="5" s="1"/>
  <c r="AB14" i="5"/>
  <c r="K14" i="5" s="1"/>
  <c r="AB15" i="5"/>
  <c r="K15" i="5" s="1"/>
  <c r="AB16" i="5"/>
  <c r="K16" i="5" s="1"/>
  <c r="AB17" i="5"/>
  <c r="K17" i="5" s="1"/>
  <c r="AB2" i="5"/>
  <c r="K2" i="5" s="1"/>
  <c r="Z3" i="5"/>
  <c r="J3" i="5" s="1"/>
  <c r="Z4" i="5"/>
  <c r="J4" i="5" s="1"/>
  <c r="Z5" i="5"/>
  <c r="J5" i="5" s="1"/>
  <c r="Z6" i="5"/>
  <c r="J6" i="5" s="1"/>
  <c r="Z7" i="5"/>
  <c r="J7" i="5" s="1"/>
  <c r="Z8" i="5"/>
  <c r="J8" i="5" s="1"/>
  <c r="Z9" i="5"/>
  <c r="J9" i="5" s="1"/>
  <c r="Z10" i="5"/>
  <c r="J10" i="5" s="1"/>
  <c r="Z11" i="5"/>
  <c r="J11" i="5" s="1"/>
  <c r="Z12" i="5"/>
  <c r="J12" i="5" s="1"/>
  <c r="J13" i="5"/>
  <c r="Z2" i="5"/>
  <c r="J2" i="5" s="1"/>
  <c r="Y3" i="5"/>
  <c r="I3" i="5" s="1"/>
  <c r="Y4" i="5"/>
  <c r="I4" i="5" s="1"/>
  <c r="Y5" i="5"/>
  <c r="I5" i="5" s="1"/>
  <c r="Y6" i="5"/>
  <c r="I6" i="5" s="1"/>
  <c r="Y7" i="5"/>
  <c r="I7" i="5" s="1"/>
  <c r="Y8" i="5"/>
  <c r="I8" i="5" s="1"/>
  <c r="Y9" i="5"/>
  <c r="I9" i="5" s="1"/>
  <c r="Y10" i="5"/>
  <c r="I10" i="5" s="1"/>
  <c r="Y11" i="5"/>
  <c r="I11" i="5" s="1"/>
  <c r="Y12" i="5"/>
  <c r="I12" i="5" s="1"/>
  <c r="Y13" i="5"/>
  <c r="I13" i="5" s="1"/>
  <c r="Y14" i="5"/>
  <c r="I14" i="5" s="1"/>
  <c r="Y2" i="5"/>
  <c r="I2" i="5" s="1"/>
  <c r="V3" i="5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2" i="5"/>
  <c r="T3" i="5"/>
  <c r="F3" i="5" s="1"/>
  <c r="T4" i="5"/>
  <c r="F4" i="5" s="1"/>
  <c r="T5" i="5"/>
  <c r="F5" i="5" s="1"/>
  <c r="T6" i="5"/>
  <c r="F6" i="5" s="1"/>
  <c r="T7" i="5"/>
  <c r="F7" i="5" s="1"/>
  <c r="T8" i="5"/>
  <c r="F8" i="5" s="1"/>
  <c r="T9" i="5"/>
  <c r="T10" i="5"/>
  <c r="T11" i="5"/>
  <c r="T12" i="5"/>
  <c r="T13" i="5"/>
  <c r="T14" i="5"/>
  <c r="T15" i="5"/>
  <c r="T16" i="5"/>
  <c r="T17" i="5"/>
  <c r="S2" i="5"/>
  <c r="T2" i="5"/>
  <c r="A2" i="5"/>
  <c r="K14" i="1"/>
  <c r="A2" i="1"/>
  <c r="I3" i="1"/>
  <c r="I4" i="1"/>
  <c r="J4" i="1"/>
  <c r="I5" i="1"/>
  <c r="J5" i="1"/>
  <c r="I6" i="1"/>
  <c r="J6" i="1"/>
  <c r="I7" i="1"/>
  <c r="J8" i="1"/>
  <c r="I2" i="1" l="1"/>
  <c r="I15" i="1"/>
  <c r="C34" i="5"/>
  <c r="C29" i="5"/>
  <c r="C24" i="5"/>
  <c r="C20" i="5"/>
  <c r="C15" i="5"/>
  <c r="C11" i="5"/>
  <c r="C7" i="5"/>
  <c r="C3" i="5"/>
  <c r="C32" i="5"/>
  <c r="C28" i="5"/>
  <c r="C23" i="5"/>
  <c r="C18" i="5"/>
  <c r="C14" i="5"/>
  <c r="C10" i="5"/>
  <c r="C6" i="5"/>
  <c r="C31" i="5"/>
  <c r="C26" i="5"/>
  <c r="C22" i="5"/>
  <c r="C17" i="5"/>
  <c r="C13" i="5"/>
  <c r="C9" i="5"/>
  <c r="C5" i="5"/>
  <c r="C27" i="5"/>
  <c r="B19" i="5"/>
  <c r="C33" i="5"/>
  <c r="C35" i="5"/>
  <c r="G3" i="5"/>
  <c r="H3" i="5"/>
  <c r="G4" i="5"/>
  <c r="H4" i="5"/>
  <c r="G5" i="5"/>
  <c r="H5" i="5"/>
  <c r="G6" i="5"/>
  <c r="H6" i="5"/>
  <c r="G7" i="5"/>
  <c r="H7" i="5"/>
  <c r="G8" i="5"/>
  <c r="H8" i="5"/>
  <c r="E9" i="5"/>
  <c r="F9" i="5"/>
  <c r="G9" i="5"/>
  <c r="H9" i="5"/>
  <c r="E10" i="5"/>
  <c r="F10" i="5"/>
  <c r="G10" i="5"/>
  <c r="H10" i="5"/>
  <c r="E11" i="5"/>
  <c r="F11" i="5"/>
  <c r="G11" i="5"/>
  <c r="H11" i="5"/>
  <c r="E12" i="5"/>
  <c r="F12" i="5"/>
  <c r="G12" i="5"/>
  <c r="H12" i="5"/>
  <c r="E13" i="5"/>
  <c r="F13" i="5"/>
  <c r="G13" i="5"/>
  <c r="H13" i="5"/>
  <c r="E14" i="5"/>
  <c r="F14" i="5"/>
  <c r="G14" i="5"/>
  <c r="H14" i="5"/>
  <c r="E15" i="5"/>
  <c r="F15" i="5"/>
  <c r="G15" i="5"/>
  <c r="H15" i="5"/>
  <c r="E16" i="5"/>
  <c r="F16" i="5"/>
  <c r="G16" i="5"/>
  <c r="H16" i="5"/>
  <c r="E17" i="5"/>
  <c r="F17" i="5"/>
  <c r="G17" i="5"/>
  <c r="H17" i="5"/>
  <c r="E18" i="5"/>
  <c r="F18" i="5"/>
  <c r="G18" i="5"/>
  <c r="H18" i="5"/>
  <c r="I18" i="5"/>
  <c r="J18" i="5"/>
  <c r="K18" i="5"/>
  <c r="L18" i="5"/>
  <c r="E19" i="5"/>
  <c r="F19" i="5"/>
  <c r="G19" i="5"/>
  <c r="H19" i="5"/>
  <c r="I19" i="5"/>
  <c r="J19" i="5"/>
  <c r="K19" i="5"/>
  <c r="L19" i="5"/>
  <c r="E20" i="5"/>
  <c r="F20" i="5"/>
  <c r="G20" i="5"/>
  <c r="H20" i="5"/>
  <c r="I20" i="5"/>
  <c r="J20" i="5"/>
  <c r="K20" i="5"/>
  <c r="L20" i="5"/>
  <c r="E21" i="5"/>
  <c r="F21" i="5"/>
  <c r="G21" i="5"/>
  <c r="H21" i="5"/>
  <c r="I21" i="5"/>
  <c r="J21" i="5"/>
  <c r="K21" i="5"/>
  <c r="L21" i="5"/>
  <c r="E22" i="5"/>
  <c r="F22" i="5"/>
  <c r="G22" i="5"/>
  <c r="H22" i="5"/>
  <c r="I22" i="5"/>
  <c r="J22" i="5"/>
  <c r="K22" i="5"/>
  <c r="L22" i="5"/>
  <c r="E23" i="5"/>
  <c r="F23" i="5"/>
  <c r="G23" i="5"/>
  <c r="H23" i="5"/>
  <c r="I23" i="5"/>
  <c r="J23" i="5"/>
  <c r="K23" i="5"/>
  <c r="L23" i="5"/>
  <c r="E24" i="5"/>
  <c r="F24" i="5"/>
  <c r="J16" i="1" s="1"/>
  <c r="G24" i="5"/>
  <c r="H24" i="5"/>
  <c r="I24" i="5"/>
  <c r="J24" i="5"/>
  <c r="K24" i="5"/>
  <c r="L24" i="5"/>
  <c r="E25" i="5"/>
  <c r="F25" i="5"/>
  <c r="G25" i="5"/>
  <c r="H25" i="5"/>
  <c r="I25" i="5"/>
  <c r="J25" i="5"/>
  <c r="K25" i="5"/>
  <c r="L25" i="5"/>
  <c r="E26" i="5"/>
  <c r="F26" i="5"/>
  <c r="G26" i="5"/>
  <c r="H26" i="5"/>
  <c r="I26" i="5"/>
  <c r="J26" i="5"/>
  <c r="K26" i="5"/>
  <c r="L26" i="5"/>
  <c r="E27" i="5"/>
  <c r="F27" i="5"/>
  <c r="G27" i="5"/>
  <c r="H27" i="5"/>
  <c r="I27" i="5"/>
  <c r="J27" i="5"/>
  <c r="K27" i="5"/>
  <c r="L27" i="5"/>
  <c r="E28" i="5"/>
  <c r="F28" i="5"/>
  <c r="G28" i="5"/>
  <c r="H28" i="5"/>
  <c r="I28" i="5"/>
  <c r="J28" i="5"/>
  <c r="K28" i="5"/>
  <c r="L28" i="5"/>
  <c r="E29" i="5"/>
  <c r="F29" i="5"/>
  <c r="G29" i="5"/>
  <c r="H29" i="5"/>
  <c r="I29" i="5"/>
  <c r="J29" i="5"/>
  <c r="K29" i="5"/>
  <c r="L29" i="5"/>
  <c r="E30" i="5"/>
  <c r="F30" i="5"/>
  <c r="G30" i="5"/>
  <c r="H30" i="5"/>
  <c r="I30" i="5"/>
  <c r="J30" i="5"/>
  <c r="K30" i="5"/>
  <c r="L30" i="5"/>
  <c r="E31" i="5"/>
  <c r="F31" i="5"/>
  <c r="G31" i="5"/>
  <c r="H31" i="5"/>
  <c r="I31" i="5"/>
  <c r="J31" i="5"/>
  <c r="K31" i="5"/>
  <c r="L31" i="5"/>
  <c r="E32" i="5"/>
  <c r="F32" i="5"/>
  <c r="G32" i="5"/>
  <c r="H32" i="5"/>
  <c r="I32" i="5"/>
  <c r="J32" i="5"/>
  <c r="K32" i="5"/>
  <c r="L32" i="5"/>
  <c r="E33" i="5"/>
  <c r="F33" i="5"/>
  <c r="G33" i="5"/>
  <c r="H33" i="5"/>
  <c r="I33" i="5"/>
  <c r="J33" i="5"/>
  <c r="K33" i="5"/>
  <c r="L33" i="5"/>
  <c r="E34" i="5"/>
  <c r="F34" i="5"/>
  <c r="G34" i="5"/>
  <c r="H34" i="5"/>
  <c r="I34" i="5"/>
  <c r="J34" i="5"/>
  <c r="K34" i="5"/>
  <c r="L34" i="5"/>
  <c r="C18" i="1" s="1"/>
  <c r="E35" i="5"/>
  <c r="F35" i="5"/>
  <c r="G35" i="5"/>
  <c r="H35" i="5"/>
  <c r="I35" i="5"/>
  <c r="J35" i="5"/>
  <c r="K35" i="5"/>
  <c r="L35" i="5"/>
  <c r="B19" i="1"/>
  <c r="B18" i="1"/>
  <c r="H2" i="5"/>
  <c r="G2" i="5"/>
  <c r="F2" i="5"/>
  <c r="C16" i="1" s="1"/>
  <c r="E2" i="5"/>
  <c r="C2" i="5"/>
  <c r="B2" i="5"/>
  <c r="B15" i="1"/>
  <c r="I8" i="1" s="1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2" i="5"/>
  <c r="C17" i="1" l="1"/>
  <c r="I17" i="1"/>
  <c r="I18" i="1"/>
  <c r="J17" i="1"/>
  <c r="J18" i="1"/>
  <c r="J19" i="1"/>
  <c r="I19" i="1"/>
  <c r="I16" i="1"/>
  <c r="C14" i="1"/>
  <c r="B14" i="1"/>
  <c r="I20" i="1" s="1"/>
  <c r="C19" i="1"/>
  <c r="G16" i="2"/>
  <c r="C2" i="1"/>
  <c r="B2" i="1"/>
  <c r="B20" i="1" s="1"/>
  <c r="B17" i="1"/>
  <c r="B16" i="1"/>
  <c r="B3" i="1"/>
  <c r="B4" i="1"/>
  <c r="B5" i="1"/>
  <c r="B6" i="1"/>
  <c r="B7" i="1"/>
  <c r="B8" i="1"/>
  <c r="B9" i="1"/>
  <c r="B10" i="1"/>
  <c r="B11" i="1"/>
  <c r="B12" i="1"/>
  <c r="B13" i="1"/>
  <c r="F14" i="1" l="1"/>
  <c r="F2" i="1"/>
  <c r="J20" i="1"/>
  <c r="C20" i="1"/>
  <c r="H5" i="1"/>
  <c r="E2" i="1" l="1"/>
  <c r="K1" i="1"/>
  <c r="E14" i="1"/>
  <c r="K2" i="1"/>
  <c r="D2" i="1"/>
  <c r="M3" i="5" l="1"/>
  <c r="M4" i="5"/>
  <c r="M5" i="5"/>
  <c r="M6" i="5"/>
  <c r="M7" i="5"/>
  <c r="M8" i="5"/>
  <c r="M9" i="5"/>
  <c r="M11" i="5"/>
  <c r="M12" i="5"/>
  <c r="M13" i="5"/>
  <c r="M14" i="5"/>
  <c r="J2" i="1" l="1"/>
  <c r="M10" i="5"/>
  <c r="Y17" i="5" l="1"/>
  <c r="I17" i="5" s="1"/>
  <c r="Z17" i="5"/>
  <c r="J17" i="5" s="1"/>
  <c r="Y16" i="5"/>
  <c r="I16" i="5" s="1"/>
  <c r="Z16" i="5"/>
  <c r="J16" i="5" s="1"/>
  <c r="Y15" i="5"/>
  <c r="I15" i="5" s="1"/>
  <c r="Z15" i="5"/>
  <c r="J1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tc={9C47C354-02D9-4D85-82EF-BB0144CEDF86}</author>
    <author>tc={009FF5DF-EDF9-4D3F-B143-8CC4DD9FDDF8}</author>
    <author>tc={003B8A88-87E5-418A-A8FE-30D64D614BA0}</author>
    <author>tc={A5B49F99-1EB5-413D-9A33-0CA86D4E8244}</author>
    <author>tc={25AC0974-5FF4-4632-9BE0-44D68E4C9B30}</author>
    <author>tc={3CA8AD97-DF1D-4A36-88B9-D59D189A9A00}</author>
    <author>tc={ED1983E9-FE25-4F0F-8FB5-0EDC858DFE18}</author>
    <author>tc={9AF63856-2088-4B78-83CF-C3425C9C685B}</author>
    <author>tc={36EE6CEA-00B9-41A5-8FE0-B6A53FF61CF5}</author>
    <author>tc={AF02F77F-4F25-463D-B6A9-7C8203575112}</author>
    <author>tc={84B88BB6-90D7-4FCF-AAEC-1AB476A3E7F8}</author>
    <author>tc={E017DE96-7582-43A8-8F9E-DEC632479455}</author>
    <author>tc={72A4762F-E69A-4938-A474-602F5C358F4B}</author>
    <author>tc={C9C03327-A2CE-4610-830D-B5D3EC38FA81}</author>
    <author>tc={D5988AB4-D221-4AEC-90E5-FD8325822D48}</author>
    <author>tc={0C326477-B601-4DB6-8682-0743B5B76BED}</author>
    <author>tc={62292F3C-377F-4E4C-9C1C-D4E3288EB014}</author>
    <author>tc={F2DA64B8-5BA6-411D-8943-698D23CD9AC5}</author>
    <author>tc={EE9CFA65-4FA5-4839-B850-0ABADDCFA099}</author>
    <author>tc={7D9340AA-F1F4-4733-A478-C8698A0F6FC6}</author>
    <author>tc={A0D0A917-F72E-432F-9A22-4FBB38C7168D}</author>
    <author>tc={206DB60F-C1EE-42AD-BDCB-6386F9334DCD}</author>
    <author>tc={C2C1197C-6603-4F52-90CA-A5D98223C571}</author>
    <author>tc={F077FE34-73D9-4A6E-94A5-53C9CE9A43E8}</author>
    <author>tc={E5A57D42-9911-4F2C-860C-9EB77B50BD23}</author>
    <author>tc={8B92FE0D-5BD6-435C-A869-97D0D48DF42F}</author>
    <author>tc={EB0F4D71-4380-470C-A6B4-ADD926CCC8E1}</author>
    <author>tc={893A8D6B-113B-44BC-BFCB-22321B06B93A}</author>
    <author>tc={58D080EF-D443-4894-9B29-3BDBA5629405}</author>
    <author>tc={38BCB307-8DD8-4BB6-921E-959108C0E86F}</author>
    <author>tc={A66CDDE7-6979-4698-8515-1C1849E1EA3B}</author>
    <author>tc={2D97BB96-2E34-4051-9BB7-2673E844FA09}</author>
  </authors>
  <commentList>
    <comment ref="E1" authorId="0" shapeId="0" xr:uid="{9C47C354-02D9-4D85-82EF-BB0144CEDF86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változás jellege: 
-210;"csökkenő"; &lt;-140;"kissé csökkenőˇ";
&gt;=-140;"stabil"</t>
      </text>
    </comment>
    <comment ref="F1" authorId="1" shapeId="0" xr:uid="{009FF5DF-EDF9-4D3F-B143-8CC4DD9FDDF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legnagyobb és legkisebb helyen mért  termés közötti átlagos különbség,  (14 kísérlet), kg/ha</t>
      </text>
    </comment>
    <comment ref="G1" authorId="2" shapeId="0" xr:uid="{003B8A88-87E5-418A-A8FE-30D64D614BA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Jobbra, a következő cellában megjelenő ˅ jelre kattintva jelennek meg a választható hibridek</t>
      </text>
    </comment>
    <comment ref="H1" authorId="3" shapeId="0" xr:uid="{A5B49F99-1EB5-413D-9A33-0CA86D4E8244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Az alábbi  cellában megjelenő ˅ jelre kattintva jelennek meg a választható hibridek</t>
      </text>
    </comment>
    <comment ref="I1" authorId="4" shapeId="0" xr:uid="{25AC0974-5FF4-4632-9BE0-44D68E4C9B3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Ha a szórás. &lt;1, „stabil”;&lt;2,”kilengő”;&lt;3, „ingadozó”; &lt;4, „billegő”; &gt;=4, „Kérdezz!”</t>
      </text>
    </comment>
    <comment ref="J1" authorId="5" shapeId="0" xr:uid="{3CA8AD97-DF1D-4A36-88B9-D59D189A9A00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Ha a szórás. &lt;1, „stabil”;&lt;2,”kilengő”;&lt;3, „ingadozó”; &lt;4, „billegő”; &gt;=4, „Kérdezz!”</t>
      </text>
    </comment>
    <comment ref="K1" authorId="6" shapeId="0" xr:uid="{ED1983E9-FE25-4F0F-8FB5-0EDC858DFE18}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Különbség az előzőhöz, ha az értékesítési ár 70000 Ft/t, első hibrid
</t>
      </text>
    </comment>
    <comment ref="B2" authorId="7" shapeId="0" xr:uid="{9AF63856-2088-4B78-83CF-C3425C9C685B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t/ha, A trendvonal kiinduló pontjának értéke</t>
      </text>
    </comment>
    <comment ref="C2" authorId="8" shapeId="0" xr:uid="{36EE6CEA-00B9-41A5-8FE0-B6A53FF61CF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t/ha, a trendvonal végpontjának értéke</t>
      </text>
    </comment>
    <comment ref="G2" authorId="9" shapeId="0" xr:uid="{AF02F77F-4F25-463D-B6A9-7C820357511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hibrid, amihez hasonlítod a kérdésben forgót</t>
      </text>
    </comment>
    <comment ref="I2" authorId="10" shapeId="0" xr:uid="{84B88BB6-90D7-4FCF-AAEC-1AB476A3E7F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Jellemzés: rangsor/hibridek száma a vizsgálati csoportban/csoportátlag/szöveges jellemzés</t>
      </text>
    </comment>
    <comment ref="J2" authorId="11" shapeId="0" xr:uid="{E017DE96-7582-43A8-8F9E-DEC63247945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Tenyészidő csoport</t>
      </text>
    </comment>
    <comment ref="K2" authorId="12" shapeId="0" xr:uid="{72A4762F-E69A-4938-A474-602F5C358F4B}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Különbség az előzőhöz, ha az értékesítési ár 70000 Ft/t, második  hibrid
</t>
      </text>
    </comment>
    <comment ref="K3" authorId="13" shapeId="0" xr:uid="{C9C03327-A2CE-4610-830D-B5D3EC38FA8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Tenyészidő csoport</t>
      </text>
    </comment>
    <comment ref="K4" authorId="14" shapeId="0" xr:uid="{D5988AB4-D221-4AEC-90E5-FD8325822D4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Hely adata</t>
      </text>
    </comment>
    <comment ref="K5" authorId="15" shapeId="0" xr:uid="{0C326477-B601-4DB6-8682-0743B5B76BED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kísérleti átlag</t>
      </text>
    </comment>
    <comment ref="K6" authorId="16" shapeId="0" xr:uid="{62292F3C-377F-4E4C-9C1C-D4E3288EB014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K7" authorId="17" shapeId="0" xr:uid="{F2DA64B8-5BA6-411D-8943-698D23CD9AC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B14" authorId="18" shapeId="0" xr:uid="{EE9CFA65-4FA5-4839-B850-0ABADDCFA099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t/ha, a trendvonal kiinduló pontjának értéke</t>
      </text>
    </comment>
    <comment ref="C14" authorId="19" shapeId="0" xr:uid="{7D9340AA-F1F4-4733-A478-C8698A0F6FC6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t/ha, a trendvonal végpontjának értéke</t>
      </text>
    </comment>
    <comment ref="G14" authorId="20" shapeId="0" xr:uid="{A0D0A917-F72E-432F-9A22-4FBB38C7168D}">
      <text>
        <t xml:space="preserve"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hibrid, amit hasonlítasz </t>
      </text>
    </comment>
    <comment ref="B15" authorId="21" shapeId="0" xr:uid="{206DB60F-C1EE-42AD-BDCB-6386F9334DCD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A csoport, ahova a kiválasztott hibrid tartozik</t>
      </text>
    </comment>
    <comment ref="A16" authorId="22" shapeId="0" xr:uid="{C2C1197C-6603-4F52-90CA-A5D98223C57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Hely adata</t>
      </text>
    </comment>
    <comment ref="K16" authorId="23" shapeId="0" xr:uid="{F077FE34-73D9-4A6E-94A5-53C9CE9A43E8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Hely adata</t>
      </text>
    </comment>
    <comment ref="A17" authorId="24" shapeId="0" xr:uid="{E5A57D42-9911-4F2C-860C-9EB77B50BD23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kísérleti átlag</t>
      </text>
    </comment>
    <comment ref="B17" authorId="25" shapeId="0" xr:uid="{8B92FE0D-5BD6-435C-A869-97D0D48DF42F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Átlagadat, Bóly</t>
      </text>
    </comment>
    <comment ref="C17" authorId="26" shapeId="0" xr:uid="{EB0F4D71-4380-470C-A6B4-ADD926CCC8E1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Átlagadat, Bóly</t>
      </text>
    </comment>
    <comment ref="K17" authorId="27" shapeId="0" xr:uid="{893A8D6B-113B-44BC-BFCB-22321B06B93A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kísérleti átlag</t>
      </text>
    </comment>
    <comment ref="A18" authorId="28" shapeId="0" xr:uid="{58D080EF-D443-4894-9B29-3BDBA5629405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K18" authorId="29" shapeId="0" xr:uid="{38BCB307-8DD8-4BB6-921E-959108C0E86F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A19" authorId="30" shapeId="0" xr:uid="{A66CDDE7-6979-4698-8515-1C1849E1EA3B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  <comment ref="K19" authorId="31" shapeId="0" xr:uid="{2D97BB96-2E34-4051-9BB7-2673E844FA09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Zóna átlag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tc={7DAF5B58-523C-484F-8A76-5A01A4E04E12}</author>
  </authors>
  <commentList>
    <comment ref="U1" authorId="0" shapeId="0" xr:uid="{7DAF5B58-523C-484F-8A76-5A01A4E04E12}">
      <text>
        <t>[Témakörökbe rendezett megjegyzés]
Ebben az Excel-verzióban olvasni tudja ezt a témakörökbe rendezett megjegyzést, ha viszont újabb Excel-verzióban nyitja meg a fájlt, eltávolítjuk a módosításait a megjegyzésből. További információ: https://go.microsoft.com/fwlink/?linkid=870924
Megjegyzés:
    Bólyi átlagadat</t>
      </text>
    </comment>
  </commentList>
</comments>
</file>

<file path=xl/sharedStrings.xml><?xml version="1.0" encoding="utf-8"?>
<sst xmlns="http://schemas.openxmlformats.org/spreadsheetml/2006/main" count="378" uniqueCount="153">
  <si>
    <t xml:space="preserve">2. </t>
  </si>
  <si>
    <t xml:space="preserve">1. </t>
  </si>
  <si>
    <t xml:space="preserve">3. </t>
  </si>
  <si>
    <t>stabil</t>
  </si>
  <si>
    <t>enyhén emelkedő</t>
  </si>
  <si>
    <t>emelkedő</t>
  </si>
  <si>
    <t>erősen emelkedő</t>
  </si>
  <si>
    <t>meredeken emelkedő</t>
  </si>
  <si>
    <t>enyhén csökkenő</t>
  </si>
  <si>
    <t>csökkenő</t>
  </si>
  <si>
    <t>erősen csökkenő</t>
  </si>
  <si>
    <t>meredeken csökkenő</t>
  </si>
  <si>
    <t>&lt;=-1</t>
  </si>
  <si>
    <t>&gt;=1</t>
  </si>
  <si>
    <t xml:space="preserve">4. </t>
  </si>
  <si>
    <t>Használd a "Trend" ablakot!</t>
  </si>
  <si>
    <t>kis tőszám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</si>
  <si>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</si>
  <si>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</si>
  <si>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</si>
  <si>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</si>
  <si>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</si>
  <si>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</si>
  <si>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</si>
  <si>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</si>
  <si>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</si>
  <si>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</si>
  <si>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</si>
  <si>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</si>
  <si>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</si>
  <si>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</si>
  <si>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</si>
  <si>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nagy tőszám</t>
  </si>
  <si>
    <t xml:space="preserve">5. </t>
  </si>
  <si>
    <t>A diagramon szemléld meg az adatváltozás (reakció) irányát</t>
  </si>
  <si>
    <t>Hibridválasztó</t>
  </si>
  <si>
    <t>Korai</t>
  </si>
  <si>
    <t>vizsgálati csoport</t>
  </si>
  <si>
    <t>Szemnedvesség</t>
  </si>
  <si>
    <t>Megdőlés</t>
  </si>
  <si>
    <t>Szártörés</t>
  </si>
  <si>
    <t>Változók</t>
  </si>
  <si>
    <t>Vizsgálati csoport</t>
  </si>
  <si>
    <t>szemnedvesség1</t>
  </si>
  <si>
    <t>szemnedvesség2</t>
  </si>
  <si>
    <t>Max</t>
  </si>
  <si>
    <t>Min</t>
  </si>
  <si>
    <t>DKC5092</t>
  </si>
  <si>
    <t>Fidencio</t>
  </si>
  <si>
    <t>Virágzás/nap</t>
  </si>
  <si>
    <t>Átlag_közép</t>
  </si>
  <si>
    <t>Átlag_korai</t>
  </si>
  <si>
    <t>Ha a G2 cellára kattintasz, a H2 cella bal alsó sarkában megjelenik egy ˇ jel</t>
  </si>
  <si>
    <t>Kattincs a ˇ-jelre, s megjelenik a teljes hibridlista, amelyekből kiváaszthatod azt, amelyikre kíváncsi vagy</t>
  </si>
  <si>
    <t>Ha megjelent a hibrid, a grafikon érzékelteti a változás irányát, amit aztán szövegesen is olvashatsz</t>
  </si>
  <si>
    <t>Olvasd el a hibridre vonatkozó kiegészítő mért, számolt, megfigyelt adatokat is!</t>
  </si>
  <si>
    <t>Küldd el nekünk is a véleményedet!</t>
  </si>
  <si>
    <t>DKC4897</t>
  </si>
  <si>
    <t>P0725</t>
  </si>
  <si>
    <t>Közép</t>
  </si>
  <si>
    <t>Jellemzés</t>
  </si>
  <si>
    <t>Víz</t>
  </si>
  <si>
    <t>Nővir</t>
  </si>
  <si>
    <t>megdőlt1</t>
  </si>
  <si>
    <t>megdőlt2</t>
  </si>
  <si>
    <t>kg/ha változás/hely</t>
  </si>
  <si>
    <t>Trendvonal relatív  helyzete</t>
  </si>
  <si>
    <t>legnagyobb  hely adata</t>
  </si>
  <si>
    <t>legkisebb hely adata</t>
  </si>
  <si>
    <t xml:space="preserve">    Legördülő lista jele</t>
  </si>
  <si>
    <t>2. hibrid</t>
  </si>
  <si>
    <t>Megdőlés %</t>
  </si>
  <si>
    <t>Szártörés %</t>
  </si>
  <si>
    <t>Trendvonal_1 helyzete</t>
  </si>
  <si>
    <t>1. hibrid</t>
  </si>
  <si>
    <t xml:space="preserve"> </t>
  </si>
  <si>
    <t>Fajták</t>
  </si>
  <si>
    <t>DKC4533</t>
  </si>
  <si>
    <t>P92841</t>
  </si>
  <si>
    <t>LID4320C</t>
  </si>
  <si>
    <t>KWS HYPOLITO</t>
  </si>
  <si>
    <t>FOXTRAIL</t>
  </si>
  <si>
    <t>SY Solandri</t>
  </si>
  <si>
    <t>P9944</t>
  </si>
  <si>
    <t>SY Stacio</t>
  </si>
  <si>
    <t>lnagyobb</t>
  </si>
  <si>
    <t>Bóly 138</t>
  </si>
  <si>
    <t>KWS LEMONDO</t>
  </si>
  <si>
    <t>KWS OLTENIO</t>
  </si>
  <si>
    <t>DUELING</t>
  </si>
  <si>
    <t>Maximum_korai</t>
  </si>
  <si>
    <t>Minimum_Korai</t>
  </si>
  <si>
    <t>Minimum_korai</t>
  </si>
  <si>
    <t>Törés</t>
  </si>
  <si>
    <t>Dőlés</t>
  </si>
  <si>
    <t>DKC4933</t>
  </si>
  <si>
    <t>KWS GENTO</t>
  </si>
  <si>
    <t>P0710</t>
  </si>
  <si>
    <t>Sy Evident</t>
  </si>
  <si>
    <t>P9975</t>
  </si>
  <si>
    <t>INDEM1012</t>
  </si>
  <si>
    <t>P0450</t>
  </si>
  <si>
    <t>P03376</t>
  </si>
  <si>
    <t>P0260</t>
  </si>
  <si>
    <t>KABARETTO</t>
  </si>
  <si>
    <t>RGT Mexxini</t>
  </si>
  <si>
    <t>maximum_közép</t>
  </si>
  <si>
    <t>minimum_közép</t>
  </si>
  <si>
    <t>DKC5092_</t>
  </si>
  <si>
    <t>P9944_</t>
  </si>
  <si>
    <t>virágzás napok1</t>
  </si>
  <si>
    <t>virágzás napok2</t>
  </si>
  <si>
    <t>szártörés %1</t>
  </si>
  <si>
    <t>szártörés %2</t>
  </si>
  <si>
    <t>Dőlés1</t>
  </si>
  <si>
    <t>Dőlés2</t>
  </si>
  <si>
    <t>Törés1</t>
  </si>
  <si>
    <t>Törés2</t>
  </si>
  <si>
    <t>Nővir1</t>
  </si>
  <si>
    <t>Nővir2</t>
  </si>
  <si>
    <t>Víz1</t>
  </si>
  <si>
    <t>Víz2</t>
  </si>
  <si>
    <t>Jellemzés: 1.hibrid</t>
  </si>
  <si>
    <t>Jellemzés: 2.hibrid</t>
  </si>
  <si>
    <t>1./13/8,12 kilengő</t>
  </si>
  <si>
    <t>2./13/8,12 billegő</t>
  </si>
  <si>
    <t>3./13/8,12 billegő</t>
  </si>
  <si>
    <t>4./13/8,12 billegő</t>
  </si>
  <si>
    <t>5./13/8,12 billegő</t>
  </si>
  <si>
    <t>6./13/8,12 billegő</t>
  </si>
  <si>
    <t>7./13/8,12 billegő</t>
  </si>
  <si>
    <t>8./13/8,12 kilengő</t>
  </si>
  <si>
    <t>9./13/8,12 kilengő</t>
  </si>
  <si>
    <t>10./13/8,12 Kérdezz!</t>
  </si>
  <si>
    <t>11./13/8,12 kilengő</t>
  </si>
  <si>
    <t>12./13/8,12 ingadozó</t>
  </si>
  <si>
    <t>13./13/8,12 kilengő</t>
  </si>
  <si>
    <t>1./15/8,6 ingadozó</t>
  </si>
  <si>
    <t>2./15/8,6 kilengő</t>
  </si>
  <si>
    <t>3./15/8,6 Kérdezz!</t>
  </si>
  <si>
    <t>4./15/8,6 kilengő</t>
  </si>
  <si>
    <t>5./15/8,6 billegő</t>
  </si>
  <si>
    <t>6./15/8,6 billegő</t>
  </si>
  <si>
    <t>7./15/8,6 Kérdezz!</t>
  </si>
  <si>
    <t>8./15/8,6 billegő</t>
  </si>
  <si>
    <t>9./15/8,6 billegő</t>
  </si>
  <si>
    <t>10./15/8,6 ingadozó</t>
  </si>
  <si>
    <t>11./15/8,6 billegő</t>
  </si>
  <si>
    <t>12./15/8,6 Kérdezz!</t>
  </si>
  <si>
    <t>13./15/8,6 billegő</t>
  </si>
  <si>
    <t>14./15/8,6 billegő</t>
  </si>
  <si>
    <t>15./15/8,6 Kérdezz!</t>
  </si>
  <si>
    <t>A változás jellege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</si>
</sst>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Ft&quot;;[Red]\-#,##0\ &quot;Ft&quot;"/>
    <numFmt numFmtId="164" formatCode="0.000"/>
    <numFmt numFmtId="165" formatCode="0_ ;[Red]\-0\ "/>
    <numFmt numFmtId="166" formatCode="0.0"/>
  </numFmts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color theme="4"/>
      <name val="Calibri"/>
      <family val="2"/>
      <charset val="238"/>
      <scheme val="minor"/>
    </font>
    <font>
      <b/>
      <sz val="14"/>
      <color theme="4"/>
      <name val="Calibri"/>
      <family val="2"/>
      <charset val="238"/>
      <scheme val="minor"/>
    </font>
    <font>
      <b/>
      <sz val="14"/>
      <color rgb="FF00B0F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darkTrellis">
        <fgColor theme="6" tint="0.39994506668294322"/>
        <bgColor theme="8" tint="0.5999633777886288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gradientFill degree="45">
        <stop position="0">
          <color theme="0"/>
        </stop>
        <stop position="1">
          <color theme="5" tint="0.59999389629810485"/>
        </stop>
      </gradientFill>
    </fill>
    <fill>
      <gradientFill degree="180">
        <stop position="0">
          <color theme="9" tint="0.40000610370189521"/>
        </stop>
        <stop position="1">
          <color rgb="FFFF0000"/>
        </stop>
      </gradientFill>
    </fill>
    <fill>
      <gradientFill>
        <stop position="0">
          <color theme="5" tint="0.40000610370189521"/>
        </stop>
        <stop position="1">
          <color theme="9" tint="0.59999389629810485"/>
        </stop>
      </gradientFill>
    </fill>
    <fill>
      <gradientFill>
        <stop position="0">
          <color theme="2"/>
        </stop>
        <stop position="0.5">
          <color theme="7" tint="0.40000610370189521"/>
        </stop>
        <stop position="1">
          <color theme="2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>
      <alignment horizontal="center" vertical="center" textRotation="90" wrapText="1"/>
    </xf>
    <xf numFmtId="0" fontId="11" fillId="0" borderId="0" xfId="0" applyFont="1" applyAlignment="1">
      <alignment horizontal="center" vertical="center" wrapText="1"/>
    </xf>
    <xf numFmtId="0" fontId="14" fillId="6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5" fillId="0" borderId="1" xfId="0" applyFont="1" applyBorder="1"/>
    <xf numFmtId="2" fontId="0" fillId="0" borderId="0" xfId="0" applyNumberFormat="1"/>
    <xf numFmtId="166" fontId="10" fillId="0" borderId="1" xfId="0" applyNumberFormat="1" applyFont="1" applyBorder="1" applyAlignment="1">
      <alignment horizontal="center" vertical="center"/>
    </xf>
    <xf numFmtId="0" fontId="16" fillId="0" borderId="0" xfId="1"/>
    <xf numFmtId="0" fontId="11" fillId="0" borderId="0" xfId="0" applyFont="1"/>
    <xf numFmtId="2" fontId="13" fillId="15" borderId="0" xfId="0" applyNumberFormat="1" applyFont="1" applyFill="1" applyAlignment="1" applyProtection="1">
      <alignment horizontal="center" vertical="center"/>
      <protection hidden="1"/>
    </xf>
    <xf numFmtId="166" fontId="13" fillId="15" borderId="0" xfId="0" applyNumberFormat="1" applyFont="1" applyFill="1" applyAlignment="1" applyProtection="1">
      <alignment horizontal="center" vertical="center"/>
      <protection hidden="1"/>
    </xf>
    <xf numFmtId="2" fontId="13" fillId="3" borderId="0" xfId="0" applyNumberFormat="1" applyFont="1" applyFill="1" applyAlignment="1" applyProtection="1">
      <alignment horizontal="center" vertical="center"/>
      <protection hidden="1"/>
    </xf>
    <xf numFmtId="2" fontId="13" fillId="9" borderId="0" xfId="0" applyNumberFormat="1" applyFont="1" applyFill="1" applyAlignment="1" applyProtection="1">
      <alignment horizontal="center" vertical="center"/>
      <protection hidden="1"/>
    </xf>
    <xf numFmtId="0" fontId="11" fillId="13" borderId="0" xfId="0" applyFont="1" applyFill="1" applyAlignment="1" applyProtection="1">
      <alignment horizontal="center" vertical="center" wrapText="1"/>
      <protection hidden="1"/>
    </xf>
    <xf numFmtId="0" fontId="11" fillId="12" borderId="0" xfId="0" applyFont="1" applyFill="1" applyAlignment="1" applyProtection="1">
      <alignment horizontal="center" vertical="center" wrapText="1"/>
      <protection hidden="1"/>
    </xf>
    <xf numFmtId="0" fontId="7" fillId="16" borderId="0" xfId="0" applyFont="1" applyFill="1" applyAlignment="1" applyProtection="1">
      <alignment horizontal="center" vertical="center"/>
      <protection hidden="1"/>
    </xf>
    <xf numFmtId="2" fontId="7" fillId="0" borderId="0" xfId="0" applyNumberFormat="1" applyFont="1" applyAlignment="1" applyProtection="1">
      <alignment horizontal="center" vertical="center"/>
      <protection hidden="1"/>
    </xf>
    <xf numFmtId="164" fontId="7" fillId="4" borderId="0" xfId="0" applyNumberFormat="1" applyFont="1" applyFill="1" applyAlignment="1" applyProtection="1">
      <alignment horizontal="center" vertical="center" wrapText="1"/>
      <protection hidden="1"/>
    </xf>
    <xf numFmtId="165" fontId="7" fillId="5" borderId="0" xfId="0" applyNumberFormat="1" applyFont="1" applyFill="1" applyAlignment="1" applyProtection="1">
      <alignment horizontal="center" vertical="center"/>
      <protection hidden="1"/>
    </xf>
    <xf numFmtId="0" fontId="21" fillId="7" borderId="0" xfId="0" applyFont="1" applyFill="1" applyAlignment="1" applyProtection="1">
      <alignment horizontal="center" vertical="center"/>
      <protection hidden="1"/>
    </xf>
    <xf numFmtId="0" fontId="0" fillId="16" borderId="0" xfId="0" applyFill="1" applyProtection="1"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164" fontId="3" fillId="4" borderId="0" xfId="0" applyNumberFormat="1" applyFont="1" applyFill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0" fillId="0" borderId="0" xfId="0" applyProtection="1">
      <protection hidden="1"/>
    </xf>
    <xf numFmtId="0" fontId="7" fillId="15" borderId="0" xfId="0" applyFont="1" applyFill="1" applyAlignment="1" applyProtection="1">
      <alignment horizontal="centerContinuous" vertical="center"/>
      <protection hidden="1"/>
    </xf>
    <xf numFmtId="0" fontId="2" fillId="15" borderId="0" xfId="0" applyFont="1" applyFill="1" applyAlignment="1" applyProtection="1">
      <alignment horizontal="centerContinuous" vertical="center"/>
      <protection hidden="1"/>
    </xf>
    <xf numFmtId="0" fontId="12" fillId="15" borderId="0" xfId="0" applyFont="1" applyFill="1" applyProtection="1">
      <protection hidden="1"/>
    </xf>
    <xf numFmtId="0" fontId="2" fillId="15" borderId="0" xfId="0" applyFont="1" applyFill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2" fontId="0" fillId="0" borderId="0" xfId="0" applyNumberFormat="1" applyProtection="1">
      <protection hidden="1"/>
    </xf>
    <xf numFmtId="0" fontId="0" fillId="15" borderId="0" xfId="0" applyFill="1" applyProtection="1">
      <protection hidden="1"/>
    </xf>
    <xf numFmtId="2" fontId="19" fillId="15" borderId="0" xfId="0" applyNumberFormat="1" applyFont="1" applyFill="1" applyAlignment="1" applyProtection="1">
      <alignment horizontal="center" vertical="center"/>
      <protection hidden="1"/>
    </xf>
    <xf numFmtId="2" fontId="20" fillId="15" borderId="0" xfId="0" applyNumberFormat="1" applyFont="1" applyFill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1" fillId="15" borderId="0" xfId="0" applyFont="1" applyFill="1" applyProtection="1">
      <protection hidden="1"/>
    </xf>
    <xf numFmtId="0" fontId="7" fillId="16" borderId="0" xfId="0" applyFont="1" applyFill="1" applyAlignment="1" applyProtection="1">
      <alignment horizontal="centerContinuous" vertical="center"/>
      <protection hidden="1"/>
    </xf>
    <xf numFmtId="0" fontId="0" fillId="16" borderId="0" xfId="0" applyFill="1" applyAlignment="1" applyProtection="1">
      <alignment horizontal="centerContinuous" vertical="center"/>
      <protection hidden="1"/>
    </xf>
    <xf numFmtId="0" fontId="22" fillId="16" borderId="0" xfId="0" applyFont="1" applyFill="1" applyAlignment="1" applyProtection="1">
      <alignment horizontal="centerContinuous" vertical="center"/>
      <protection hidden="1"/>
    </xf>
    <xf numFmtId="0" fontId="12" fillId="9" borderId="0" xfId="0" applyFont="1" applyFill="1" applyProtection="1">
      <protection hidden="1"/>
    </xf>
    <xf numFmtId="2" fontId="13" fillId="9" borderId="0" xfId="0" applyNumberFormat="1" applyFont="1" applyFill="1" applyAlignment="1" applyProtection="1">
      <alignment horizontal="centerContinuous" vertical="center"/>
      <protection hidden="1"/>
    </xf>
    <xf numFmtId="2" fontId="18" fillId="9" borderId="0" xfId="0" applyNumberFormat="1" applyFont="1" applyFill="1" applyAlignment="1" applyProtection="1">
      <alignment horizontal="centerContinuous" vertical="center"/>
      <protection hidden="1"/>
    </xf>
    <xf numFmtId="2" fontId="13" fillId="15" borderId="0" xfId="0" applyNumberFormat="1" applyFont="1" applyFill="1" applyAlignment="1" applyProtection="1">
      <alignment horizontal="centerContinuous" vertical="center"/>
      <protection hidden="1"/>
    </xf>
    <xf numFmtId="166" fontId="13" fillId="9" borderId="0" xfId="0" applyNumberFormat="1" applyFont="1" applyFill="1" applyAlignment="1" applyProtection="1">
      <alignment horizontal="center" vertical="center"/>
      <protection hidden="1"/>
    </xf>
    <xf numFmtId="2" fontId="17" fillId="0" borderId="0" xfId="0" applyNumberFormat="1" applyFont="1" applyAlignment="1" applyProtection="1">
      <alignment horizontal="left" vertical="center" wrapText="1"/>
      <protection hidden="1"/>
    </xf>
    <xf numFmtId="2" fontId="17" fillId="3" borderId="0" xfId="0" applyNumberFormat="1" applyFont="1" applyFill="1" applyAlignment="1" applyProtection="1">
      <alignment horizontal="left" vertical="center" wrapText="1"/>
      <protection hidden="1"/>
    </xf>
    <xf numFmtId="0" fontId="0" fillId="3" borderId="0" xfId="0" applyFill="1" applyProtection="1">
      <protection hidden="1"/>
    </xf>
    <xf numFmtId="0" fontId="0" fillId="8" borderId="0" xfId="0" applyFill="1" applyAlignment="1" applyProtection="1">
      <alignment horizontal="left" vertical="top"/>
      <protection hidden="1"/>
    </xf>
    <xf numFmtId="0" fontId="12" fillId="0" borderId="0" xfId="0" applyFont="1"/>
    <xf numFmtId="2" fontId="10" fillId="0" borderId="1" xfId="0" applyNumberFormat="1" applyFont="1" applyBorder="1" applyAlignment="1">
      <alignment horizontal="center"/>
    </xf>
    <xf numFmtId="166" fontId="0" fillId="0" borderId="0" xfId="0" applyNumberFormat="1"/>
    <xf numFmtId="2" fontId="11" fillId="0" borderId="0" xfId="0" applyNumberFormat="1" applyFont="1"/>
    <xf numFmtId="0" fontId="11" fillId="8" borderId="0" xfId="0" applyFont="1" applyFill="1" applyAlignment="1" applyProtection="1">
      <alignment horizontal="center" vertical="center" wrapText="1"/>
      <protection hidden="1"/>
    </xf>
    <xf numFmtId="164" fontId="11" fillId="2" borderId="0" xfId="0" applyNumberFormat="1" applyFont="1" applyFill="1" applyAlignment="1" applyProtection="1">
      <alignment horizontal="center" vertical="center"/>
      <protection hidden="1"/>
    </xf>
    <xf numFmtId="164" fontId="11" fillId="3" borderId="0" xfId="0" applyNumberFormat="1" applyFont="1" applyFill="1" applyAlignment="1" applyProtection="1">
      <alignment horizontal="center" vertical="center" wrapText="1"/>
      <protection hidden="1"/>
    </xf>
    <xf numFmtId="0" fontId="11" fillId="11" borderId="0" xfId="0" applyFont="1" applyFill="1" applyAlignment="1" applyProtection="1">
      <alignment horizontal="center" vertical="center" wrapText="1"/>
      <protection hidden="1"/>
    </xf>
    <xf numFmtId="0" fontId="11" fillId="10" borderId="0" xfId="0" applyFont="1" applyFill="1" applyAlignment="1" applyProtection="1">
      <alignment horizontal="center" vertical="center" wrapText="1"/>
      <protection hidden="1"/>
    </xf>
    <xf numFmtId="0" fontId="11" fillId="14" borderId="0" xfId="0" applyFont="1" applyFill="1" applyAlignment="1" applyProtection="1">
      <alignment horizontal="center" vertical="top" wrapText="1"/>
      <protection hidden="1"/>
    </xf>
    <xf numFmtId="0" fontId="1" fillId="8" borderId="0" xfId="0" applyFont="1" applyFill="1" applyAlignment="1" applyProtection="1">
      <alignment horizontal="left" vertical="top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1" fillId="17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0" fillId="15" borderId="0" xfId="0" applyFill="1" applyAlignment="1" applyProtection="1">
      <alignment horizontal="centerContinuous"/>
      <protection hidden="1"/>
    </xf>
    <xf numFmtId="6" fontId="11" fillId="8" borderId="0" xfId="0" applyNumberFormat="1" applyFont="1" applyFill="1" applyAlignment="1" applyProtection="1">
      <alignment horizontal="center" vertical="center" wrapText="1"/>
      <protection hidden="1"/>
    </xf>
    <xf numFmtId="6" fontId="11" fillId="8" borderId="0" xfId="0" applyNumberFormat="1" applyFont="1" applyFill="1" applyAlignment="1" applyProtection="1">
      <alignment horizontal="center" vertical="center"/>
      <protection hidden="1"/>
    </xf>
    <xf numFmtId="0" fontId="12" fillId="15" borderId="0" xfId="0" applyFont="1" applyFill="1" applyAlignment="1" applyProtection="1">
      <alignment horizontal="center" vertical="center"/>
      <protection hidden="1"/>
    </xf>
    <xf numFmtId="0" fontId="12" fillId="15" borderId="0" xfId="0" applyFont="1" applyFill="1" applyProtection="1">
      <protection hidden="1"/>
    </xf>
    <xf numFmtId="0" fontId="16" fillId="16" borderId="0" xfId="1" applyFill="1" applyAlignment="1" applyProtection="1">
      <alignment horizontal="center" vertical="center"/>
      <protection hidden="1"/>
    </xf>
  </cellXfs>
  <cellStyles count="2">
    <cellStyle name="Hivatkozás" xfId="1" builtinId="8"/>
    <cellStyle name="Normál" xfId="0" builtinId="0"/>
  </cellStyles>
  <dxfs count="0"/>
  <tableStyles count="1" defaultTableStyle="TableStyleMedium2" defaultPivotStyle="PivotStyleLight16">
    <tableStyle name="Invisible" pivot="0" table="0" count="0" xr9:uid="{C99AE735-9B50-476D-88FE-76BC512B3DE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800"/>
              <a:t>https://www.magyarkukoricaklub.hu/data/file/2025/</a:t>
            </a:r>
            <a:br>
              <a:rPr lang="hu-HU" sz="800"/>
            </a:br>
            <a:r>
              <a:rPr lang="hu-HU" sz="800"/>
              <a:t>11/21/top20-25_kozzetetel.pdf</a:t>
            </a:r>
          </a:p>
        </c:rich>
      </c:tx>
      <c:layout>
        <c:manualLayout>
          <c:xMode val="edge"/>
          <c:yMode val="edge"/>
          <c:x val="0.47977912201447459"/>
          <c:y val="7.1570598948231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0.15031534397476992"/>
          <c:y val="6.6289214724007034E-2"/>
          <c:w val="0.82273993899702247"/>
          <c:h val="0.585880886137482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Trend!$B$2:$C$2</c:f>
              <c:numCache>
                <c:formatCode>0.00</c:formatCode>
                <c:ptCount val="2"/>
                <c:pt idx="0">
                  <c:v>11.551359912229477</c:v>
                </c:pt>
                <c:pt idx="1">
                  <c:v>6.2146306867130674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E-4C72-8164-F2A7565B53BD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Trend!$B$1:$C$1</c:f>
              <c:strCache>
                <c:ptCount val="2"/>
                <c:pt idx="0">
                  <c:v>legnagyobb  hely adata</c:v>
                </c:pt>
                <c:pt idx="1">
                  <c:v>legkisebb hely adata</c:v>
                </c:pt>
              </c:strCache>
            </c:strRef>
          </c:cat>
          <c:val>
            <c:numRef>
              <c:f>Trend!$B$14:$C$14</c:f>
              <c:numCache>
                <c:formatCode>0.00</c:formatCode>
                <c:ptCount val="2"/>
                <c:pt idx="0">
                  <c:v>11.516074411760471</c:v>
                </c:pt>
                <c:pt idx="1">
                  <c:v>6.9237684582135381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C4-4103-B89B-FA34D25E0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600351"/>
        <c:axId val="1209596191"/>
      </c:lineChart>
      <c:catAx>
        <c:axId val="1209600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Sűrítés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9596191"/>
        <c:crosses val="autoZero"/>
        <c:auto val="1"/>
        <c:lblAlgn val="ctr"/>
        <c:lblOffset val="100"/>
        <c:noMultiLvlLbl val="0"/>
      </c:catAx>
      <c:valAx>
        <c:axId val="1209596191"/>
        <c:scaling>
          <c:orientation val="minMax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Termés, t/ha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209600351"/>
        <c:crosses val="autoZero"/>
        <c:crossBetween val="between"/>
        <c:majorUnit val="1"/>
      </c:valAx>
      <c:spPr>
        <a:gradFill>
          <a:gsLst>
            <a:gs pos="4800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4800000" scaled="0"/>
        </a:gra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59000">
          <a:schemeClr val="accent3">
            <a:lumMod val="5000"/>
            <a:lumOff val="95000"/>
          </a:schemeClr>
        </a:gs>
        <a:gs pos="74000">
          <a:schemeClr val="accent3">
            <a:lumMod val="45000"/>
            <a:lumOff val="55000"/>
          </a:schemeClr>
        </a:gs>
        <a:gs pos="83000">
          <a:schemeClr val="accent3">
            <a:lumMod val="45000"/>
            <a:lumOff val="55000"/>
          </a:schemeClr>
        </a:gs>
        <a:gs pos="100000">
          <a:schemeClr val="accent3">
            <a:lumMod val="30000"/>
            <a:lumOff val="70000"/>
          </a:schemeClr>
        </a:gs>
      </a:gsLst>
      <a:lin ang="4800000" scaled="0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Dia!$F$1</c:f>
              <c:strCache>
                <c:ptCount val="1"/>
                <c:pt idx="0">
                  <c:v>h1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Dia!$F$2:$F$3</c:f>
              <c:numCache>
                <c:formatCode>General</c:formatCode>
                <c:ptCount val="2"/>
                <c:pt idx="0">
                  <c:v>14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7-48E4-99EF-A680983095C2}"/>
            </c:ext>
          </c:extLst>
        </c:ser>
        <c:ser>
          <c:idx val="1"/>
          <c:order val="1"/>
          <c:tx>
            <c:strRef>
              <c:f>Dia!$G$1</c:f>
              <c:strCache>
                <c:ptCount val="1"/>
                <c:pt idx="0">
                  <c:v>h2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Dia!$G$2:$G$3</c:f>
              <c:numCache>
                <c:formatCode>General</c:formatCode>
                <c:ptCount val="2"/>
                <c:pt idx="0">
                  <c:v>13.5</c:v>
                </c:pt>
                <c:pt idx="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7-48E4-99EF-A680983095C2}"/>
            </c:ext>
          </c:extLst>
        </c:ser>
        <c:ser>
          <c:idx val="2"/>
          <c:order val="2"/>
          <c:tx>
            <c:strRef>
              <c:f>Dia!$H$1</c:f>
              <c:strCache>
                <c:ptCount val="1"/>
                <c:pt idx="0">
                  <c:v>h3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Dia!$H$2:$H$3</c:f>
              <c:numCache>
                <c:formatCode>General</c:formatCode>
                <c:ptCount val="2"/>
                <c:pt idx="0">
                  <c:v>13</c:v>
                </c:pt>
                <c:pt idx="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7-48E4-99EF-A680983095C2}"/>
            </c:ext>
          </c:extLst>
        </c:ser>
        <c:ser>
          <c:idx val="3"/>
          <c:order val="3"/>
          <c:tx>
            <c:strRef>
              <c:f>Dia!$I$1</c:f>
              <c:strCache>
                <c:ptCount val="1"/>
                <c:pt idx="0">
                  <c:v>h4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Dia!$I$2:$I$3</c:f>
              <c:numCache>
                <c:formatCode>General</c:formatCode>
                <c:ptCount val="2"/>
                <c:pt idx="0">
                  <c:v>13</c:v>
                </c:pt>
                <c:pt idx="1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7-48E4-99EF-A680983095C2}"/>
            </c:ext>
          </c:extLst>
        </c:ser>
        <c:ser>
          <c:idx val="4"/>
          <c:order val="4"/>
          <c:tx>
            <c:strRef>
              <c:f>Dia!$J$1</c:f>
              <c:strCache>
                <c:ptCount val="1"/>
                <c:pt idx="0">
                  <c:v>h5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Dia!$J$2:$J$3</c:f>
              <c:numCache>
                <c:formatCode>General</c:formatCode>
                <c:ptCount val="2"/>
                <c:pt idx="0">
                  <c:v>12</c:v>
                </c:pt>
                <c:pt idx="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057-48E4-99EF-A680983095C2}"/>
            </c:ext>
          </c:extLst>
        </c:ser>
        <c:ser>
          <c:idx val="5"/>
          <c:order val="5"/>
          <c:tx>
            <c:strRef>
              <c:f>Dia!$K$1</c:f>
              <c:strCache>
                <c:ptCount val="1"/>
                <c:pt idx="0">
                  <c:v>h6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Dia!$K$2:$K$3</c:f>
              <c:numCache>
                <c:formatCode>General</c:formatCode>
                <c:ptCount val="2"/>
                <c:pt idx="0">
                  <c:v>11.5</c:v>
                </c:pt>
                <c:pt idx="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7-48E4-99EF-A680983095C2}"/>
            </c:ext>
          </c:extLst>
        </c:ser>
        <c:ser>
          <c:idx val="6"/>
          <c:order val="6"/>
          <c:tx>
            <c:strRef>
              <c:f>Dia!$L$1</c:f>
              <c:strCache>
                <c:ptCount val="1"/>
                <c:pt idx="0">
                  <c:v>h7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Dia!$L$2:$L$3</c:f>
              <c:numCache>
                <c:formatCode>General</c:formatCode>
                <c:ptCount val="2"/>
                <c:pt idx="0">
                  <c:v>11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057-48E4-99EF-A680983095C2}"/>
            </c:ext>
          </c:extLst>
        </c:ser>
        <c:ser>
          <c:idx val="7"/>
          <c:order val="7"/>
          <c:tx>
            <c:strRef>
              <c:f>Dia!$M$1</c:f>
              <c:strCache>
                <c:ptCount val="1"/>
                <c:pt idx="0">
                  <c:v>h8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Dia!$M$2:$M$3</c:f>
              <c:numCache>
                <c:formatCode>General</c:formatCode>
                <c:ptCount val="2"/>
                <c:pt idx="0">
                  <c:v>10.5</c:v>
                </c:pt>
                <c:pt idx="1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57-48E4-99EF-A680983095C2}"/>
            </c:ext>
          </c:extLst>
        </c:ser>
        <c:ser>
          <c:idx val="8"/>
          <c:order val="8"/>
          <c:tx>
            <c:strRef>
              <c:f>Dia!$N$1</c:f>
              <c:strCache>
                <c:ptCount val="1"/>
                <c:pt idx="0">
                  <c:v>h9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Dia!$N$2:$N$3</c:f>
              <c:numCache>
                <c:formatCode>General</c:formatCode>
                <c:ptCount val="2"/>
                <c:pt idx="0">
                  <c:v>10</c:v>
                </c:pt>
                <c:pt idx="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057-48E4-99EF-A680983095C2}"/>
            </c:ext>
          </c:extLst>
        </c:ser>
        <c:ser>
          <c:idx val="9"/>
          <c:order val="9"/>
          <c:tx>
            <c:strRef>
              <c:f>Dia!$O$1</c:f>
              <c:strCache>
                <c:ptCount val="1"/>
                <c:pt idx="0">
                  <c:v>h10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Dia!$O$2:$O$3</c:f>
              <c:numCache>
                <c:formatCode>General</c:formatCode>
                <c:ptCount val="2"/>
                <c:pt idx="0">
                  <c:v>14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057-48E4-99EF-A680983095C2}"/>
            </c:ext>
          </c:extLst>
        </c:ser>
        <c:ser>
          <c:idx val="10"/>
          <c:order val="10"/>
          <c:tx>
            <c:strRef>
              <c:f>Dia!$P$1</c:f>
              <c:strCache>
                <c:ptCount val="1"/>
                <c:pt idx="0">
                  <c:v>h11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Dia!$P$2:$P$3</c:f>
              <c:numCache>
                <c:formatCode>General</c:formatCode>
                <c:ptCount val="2"/>
                <c:pt idx="0">
                  <c:v>9</c:v>
                </c:pt>
                <c:pt idx="1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057-48E4-99EF-A680983095C2}"/>
            </c:ext>
          </c:extLst>
        </c:ser>
        <c:ser>
          <c:idx val="11"/>
          <c:order val="11"/>
          <c:tx>
            <c:strRef>
              <c:f>Dia!$Q$1</c:f>
              <c:strCache>
                <c:ptCount val="1"/>
                <c:pt idx="0">
                  <c:v>h12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Dia!$Q$2:$Q$3</c:f>
              <c:numCache>
                <c:formatCode>General</c:formatCode>
                <c:ptCount val="2"/>
                <c:pt idx="0">
                  <c:v>8.5</c:v>
                </c:pt>
                <c:pt idx="1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057-48E4-99EF-A680983095C2}"/>
            </c:ext>
          </c:extLst>
        </c:ser>
        <c:ser>
          <c:idx val="12"/>
          <c:order val="12"/>
          <c:tx>
            <c:strRef>
              <c:f>Dia!$R$1</c:f>
              <c:strCache>
                <c:ptCount val="1"/>
                <c:pt idx="0">
                  <c:v>h13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Dia!$R$2:$R$3</c:f>
              <c:numCache>
                <c:formatCode>General</c:formatCode>
                <c:ptCount val="2"/>
                <c:pt idx="0">
                  <c:v>8</c:v>
                </c:pt>
                <c:pt idx="1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057-48E4-99EF-A680983095C2}"/>
            </c:ext>
          </c:extLst>
        </c:ser>
        <c:ser>
          <c:idx val="13"/>
          <c:order val="13"/>
          <c:tx>
            <c:strRef>
              <c:f>Dia!$S$1</c:f>
              <c:strCache>
                <c:ptCount val="1"/>
                <c:pt idx="0">
                  <c:v>h14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Dia!$S$2:$S$3</c:f>
              <c:numCache>
                <c:formatCode>General</c:formatCode>
                <c:ptCount val="2"/>
                <c:pt idx="0">
                  <c:v>7.5</c:v>
                </c:pt>
                <c:pt idx="1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057-48E4-99EF-A680983095C2}"/>
            </c:ext>
          </c:extLst>
        </c:ser>
        <c:ser>
          <c:idx val="14"/>
          <c:order val="14"/>
          <c:tx>
            <c:strRef>
              <c:f>Dia!$T$1</c:f>
              <c:strCache>
                <c:ptCount val="1"/>
                <c:pt idx="0">
                  <c:v>h15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Dia!$E$2:$E$3</c:f>
              <c:strCache>
                <c:ptCount val="2"/>
                <c:pt idx="0">
                  <c:v>kis tőszám</c:v>
                </c:pt>
                <c:pt idx="1">
                  <c:v>nagy tőszám</c:v>
                </c:pt>
              </c:strCache>
            </c:strRef>
          </c:cat>
          <c:val>
            <c:numRef>
              <c:f>Dia!$T$2:$T$3</c:f>
              <c:numCache>
                <c:formatCode>General</c:formatCode>
                <c:ptCount val="2"/>
                <c:pt idx="0">
                  <c:v>7</c:v>
                </c:pt>
                <c:pt idx="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057-48E4-99EF-A68098309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31200"/>
        <c:axId val="399033280"/>
      </c:lineChart>
      <c:catAx>
        <c:axId val="39903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9033280"/>
        <c:crosses val="autoZero"/>
        <c:auto val="1"/>
        <c:lblAlgn val="ctr"/>
        <c:lblOffset val="100"/>
        <c:noMultiLvlLbl val="0"/>
      </c:catAx>
      <c:valAx>
        <c:axId val="399033280"/>
        <c:scaling>
          <c:orientation val="minMax"/>
          <c:min val="6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903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9071</xdr:colOff>
      <xdr:row>13</xdr:row>
      <xdr:rowOff>222553</xdr:rowOff>
    </xdr:from>
    <xdr:to>
      <xdr:col>8</xdr:col>
      <xdr:colOff>2056</xdr:colOff>
      <xdr:row>22</xdr:row>
      <xdr:rowOff>174776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44B4ED6-22EC-6CAC-260B-ACCC20F08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103128</xdr:colOff>
      <xdr:row>0</xdr:row>
      <xdr:rowOff>599090</xdr:rowOff>
    </xdr:from>
    <xdr:to>
      <xdr:col>7</xdr:col>
      <xdr:colOff>262759</xdr:colOff>
      <xdr:row>1</xdr:row>
      <xdr:rowOff>51564</xdr:rowOff>
    </xdr:to>
    <xdr:cxnSp macro="">
      <xdr:nvCxnSpPr>
        <xdr:cNvPr id="4" name="Egyenes összekötő nyíllal 3">
          <a:extLst>
            <a:ext uri="{FF2B5EF4-FFF2-40B4-BE49-F238E27FC236}">
              <a16:creationId xmlns:a16="http://schemas.microsoft.com/office/drawing/2014/main" id="{D6AB6907-11B3-B7BC-8047-FB74BB718D16}"/>
            </a:ext>
          </a:extLst>
        </xdr:cNvPr>
        <xdr:cNvCxnSpPr/>
      </xdr:nvCxnSpPr>
      <xdr:spPr>
        <a:xfrm flipH="1">
          <a:off x="6903835" y="599090"/>
          <a:ext cx="159631" cy="346248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171879</xdr:colOff>
      <xdr:row>0</xdr:row>
      <xdr:rowOff>567603</xdr:rowOff>
    </xdr:from>
    <xdr:to>
      <xdr:col>7</xdr:col>
      <xdr:colOff>454837</xdr:colOff>
      <xdr:row>13</xdr:row>
      <xdr:rowOff>45835</xdr:rowOff>
    </xdr:to>
    <xdr:cxnSp macro="">
      <xdr:nvCxnSpPr>
        <xdr:cNvPr id="5" name="Egyenes összekötő nyíllal 4">
          <a:extLst>
            <a:ext uri="{FF2B5EF4-FFF2-40B4-BE49-F238E27FC236}">
              <a16:creationId xmlns:a16="http://schemas.microsoft.com/office/drawing/2014/main" id="{F5DFF5C3-721A-F8E2-04DE-97CAC863C8D9}"/>
            </a:ext>
          </a:extLst>
        </xdr:cNvPr>
        <xdr:cNvCxnSpPr/>
      </xdr:nvCxnSpPr>
      <xdr:spPr>
        <a:xfrm flipH="1">
          <a:off x="6972586" y="567603"/>
          <a:ext cx="282958" cy="601179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6874</xdr:colOff>
      <xdr:row>0</xdr:row>
      <xdr:rowOff>0</xdr:rowOff>
    </xdr:from>
    <xdr:to>
      <xdr:col>0</xdr:col>
      <xdr:colOff>930280</xdr:colOff>
      <xdr:row>0</xdr:row>
      <xdr:rowOff>161566</xdr:rowOff>
    </xdr:to>
    <xdr:pic>
      <xdr:nvPicPr>
        <xdr:cNvPr id="3" name="Kép 2" descr="mkk_logo_01">
          <a:extLst>
            <a:ext uri="{FF2B5EF4-FFF2-40B4-BE49-F238E27FC236}">
              <a16:creationId xmlns:a16="http://schemas.microsoft.com/office/drawing/2014/main" id="{F99C8700-08AA-4762-D316-E88CC1A9F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4" y="0"/>
          <a:ext cx="923406" cy="1615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3</xdr:row>
      <xdr:rowOff>110490</xdr:rowOff>
    </xdr:from>
    <xdr:to>
      <xdr:col>16</xdr:col>
      <xdr:colOff>7620</xdr:colOff>
      <xdr:row>21</xdr:row>
      <xdr:rowOff>114300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36B9823-CED6-B065-1D4D-B959D32F5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bed2132da9f1d29/1A_Kukklub_Dolgoz/Kukklub_2014_0301/Tev&#233;kenys&#233;g/Kiadv&#225;nyok/2022_kiav/34_sz&#225;m/K&#233;szek_34_sz&#225;m/Top20_Agr&#246;ko_2021_P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bed2132da9f1d29/1A_Kukklub_Dolgoz/Kukklub_2014_0301/Tev&#233;kenys&#233;g/AgrInfo/Fajtak&#237;s&#233;rletez&#233;s/TOP20/Top20_K/Top2025/Top20_&#201;rt&#233;kel&#233;s_2025/V&#233;gs&#337;%20t&#225;bl&#225;zatok%202025_jav_bemutat&#243;.xlsx" TargetMode="External"/><Relationship Id="rId1" Type="http://schemas.openxmlformats.org/officeDocument/2006/relationships/externalLinkPath" Target="/2bed2132da9f1d29/1A_Kukklub_Dolgoz/Kukklub_2014_0301/Tev&#233;kenys&#233;g/AgrInfo/Fajtak&#237;s&#233;rletez&#233;s/TOP20/Top20_K/Top2025/Top20_&#201;rt&#233;kel&#233;s_2025/V&#233;gs&#337;%20t&#225;bl&#225;zatok%202025_jav_bemutat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Trend"/>
      <sheetName val="KRITÉRIUM"/>
      <sheetName val="Munka1"/>
      <sheetName val="Dia"/>
    </sheetNames>
    <sheetDataSet>
      <sheetData sheetId="0" refreshError="1"/>
      <sheetData sheetId="1">
        <row r="14">
          <cell r="G14" t="str">
            <v>P0217</v>
          </cell>
        </row>
      </sheetData>
      <sheetData sheetId="2" refreshError="1"/>
      <sheetData sheetId="3">
        <row r="1">
          <cell r="B1" t="str">
            <v>Max</v>
          </cell>
          <cell r="C1" t="str">
            <v>Min</v>
          </cell>
          <cell r="D1" t="str">
            <v>vizsgálati csoport</v>
          </cell>
          <cell r="E1" t="str">
            <v>szemnedvesség1</v>
          </cell>
          <cell r="F1" t="str">
            <v>szemnedvesség2</v>
          </cell>
          <cell r="G1" t="str">
            <v>virágzás dátuma1</v>
          </cell>
          <cell r="H1" t="str">
            <v>virágzás dátuma2</v>
          </cell>
          <cell r="I1" t="str">
            <v>szártörés(35)</v>
          </cell>
          <cell r="J1" t="str">
            <v>szártörés(85)</v>
          </cell>
          <cell r="K1" t="str">
            <v>megdőlt1</v>
          </cell>
          <cell r="L1" t="str">
            <v>megdőlt2</v>
          </cell>
          <cell r="M1" t="str">
            <v>Jellemzés</v>
          </cell>
          <cell r="O1" t="str">
            <v>Termés</v>
          </cell>
          <cell r="R1" t="str">
            <v>Víz</v>
          </cell>
          <cell r="U1" t="str">
            <v>Nővir</v>
          </cell>
        </row>
        <row r="2">
          <cell r="A2" t="str">
            <v>KWS Hypolito</v>
          </cell>
          <cell r="B2">
            <v>14.663449868632938</v>
          </cell>
          <cell r="C2">
            <v>13.288203661327231</v>
          </cell>
          <cell r="D2" t="str">
            <v>Korai</v>
          </cell>
          <cell r="E2">
            <v>16.375</v>
          </cell>
          <cell r="F2">
            <v>17.162500000000001</v>
          </cell>
          <cell r="G2">
            <v>69.75</v>
          </cell>
          <cell r="H2">
            <v>68.5</v>
          </cell>
          <cell r="I2">
            <v>0</v>
          </cell>
          <cell r="J2">
            <v>0.29411764705882354</v>
          </cell>
          <cell r="K2">
            <v>0</v>
          </cell>
          <cell r="L2">
            <v>0</v>
          </cell>
          <cell r="M2" t="e">
            <v>#REF!</v>
          </cell>
          <cell r="N2" t="e">
            <v>#REF!</v>
          </cell>
          <cell r="O2" t="str">
            <v>KWS Hypolito</v>
          </cell>
          <cell r="P2">
            <v>14.663449868632938</v>
          </cell>
          <cell r="Q2">
            <v>13.288203661327231</v>
          </cell>
          <cell r="R2" t="str">
            <v>Cali</v>
          </cell>
          <cell r="S2">
            <v>17.974999999999998</v>
          </cell>
          <cell r="T2">
            <v>18.862500000000001</v>
          </cell>
          <cell r="U2" t="str">
            <v>Cali</v>
          </cell>
          <cell r="V2">
            <v>69.75</v>
          </cell>
          <cell r="W2">
            <v>68</v>
          </cell>
          <cell r="X2" t="str">
            <v>Cali</v>
          </cell>
          <cell r="Y2">
            <v>0.29069767441860467</v>
          </cell>
          <cell r="Z2">
            <v>0.57471264367816088</v>
          </cell>
          <cell r="AA2" t="str">
            <v>Cali</v>
          </cell>
          <cell r="AB2">
            <v>0</v>
          </cell>
          <cell r="AC2">
            <v>0</v>
          </cell>
        </row>
        <row r="3">
          <cell r="A3" t="str">
            <v>P9363</v>
          </cell>
          <cell r="B3">
            <v>13.447419696584456</v>
          </cell>
          <cell r="C3">
            <v>12.509875836935333</v>
          </cell>
          <cell r="D3" t="str">
            <v>Korai</v>
          </cell>
          <cell r="E3">
            <v>16.950000000000003</v>
          </cell>
          <cell r="F3">
            <v>17.837499999999999</v>
          </cell>
          <cell r="G3">
            <v>69</v>
          </cell>
          <cell r="H3">
            <v>67.25</v>
          </cell>
          <cell r="I3">
            <v>0.29761904761904762</v>
          </cell>
          <cell r="J3">
            <v>0.54347826086956519</v>
          </cell>
          <cell r="K3">
            <v>0</v>
          </cell>
          <cell r="L3">
            <v>0</v>
          </cell>
          <cell r="M3" t="e">
            <v>#REF!</v>
          </cell>
          <cell r="N3" t="e">
            <v>#REF!</v>
          </cell>
          <cell r="O3" t="str">
            <v>P9363</v>
          </cell>
          <cell r="P3">
            <v>13.447419696584456</v>
          </cell>
          <cell r="Q3">
            <v>12.509875836935333</v>
          </cell>
          <cell r="R3" t="str">
            <v>DKC4391</v>
          </cell>
          <cell r="S3">
            <v>17.2</v>
          </cell>
          <cell r="T3">
            <v>18.925000000000001</v>
          </cell>
          <cell r="U3" t="str">
            <v>DKC4391</v>
          </cell>
          <cell r="V3">
            <v>70.5</v>
          </cell>
          <cell r="W3">
            <v>69</v>
          </cell>
          <cell r="X3" t="str">
            <v>DKC4391</v>
          </cell>
          <cell r="Y3">
            <v>0</v>
          </cell>
          <cell r="Z3">
            <v>0.28735632183908044</v>
          </cell>
          <cell r="AA3" t="str">
            <v>DKC4391</v>
          </cell>
          <cell r="AB3">
            <v>0</v>
          </cell>
          <cell r="AC3">
            <v>0</v>
          </cell>
        </row>
        <row r="4">
          <cell r="A4" t="str">
            <v>DKC4709</v>
          </cell>
          <cell r="B4">
            <v>13.462767607424357</v>
          </cell>
          <cell r="C4">
            <v>12.403541401813712</v>
          </cell>
          <cell r="D4" t="str">
            <v>Korai</v>
          </cell>
          <cell r="E4">
            <v>19.225000000000001</v>
          </cell>
          <cell r="F4">
            <v>19.600000000000001</v>
          </cell>
          <cell r="G4">
            <v>70.25</v>
          </cell>
          <cell r="H4">
            <v>69.5</v>
          </cell>
          <cell r="I4">
            <v>0</v>
          </cell>
          <cell r="J4">
            <v>0.2808988764044944</v>
          </cell>
          <cell r="K4">
            <v>0</v>
          </cell>
          <cell r="L4">
            <v>0</v>
          </cell>
          <cell r="M4" t="e">
            <v>#REF!</v>
          </cell>
          <cell r="N4" t="e">
            <v>#REF!</v>
          </cell>
          <cell r="O4" t="str">
            <v>DKC4709</v>
          </cell>
          <cell r="P4">
            <v>13.462767607424357</v>
          </cell>
          <cell r="Q4">
            <v>12.403541401813712</v>
          </cell>
          <cell r="R4" t="str">
            <v>DKC4709</v>
          </cell>
          <cell r="S4">
            <v>19.225000000000001</v>
          </cell>
          <cell r="T4">
            <v>19.600000000000001</v>
          </cell>
          <cell r="U4" t="str">
            <v>DKC4709</v>
          </cell>
          <cell r="V4">
            <v>70.25</v>
          </cell>
          <cell r="W4">
            <v>69.5</v>
          </cell>
          <cell r="X4" t="str">
            <v>DKC4709</v>
          </cell>
          <cell r="Y4">
            <v>0</v>
          </cell>
          <cell r="Z4">
            <v>0.2808988764044944</v>
          </cell>
          <cell r="AA4" t="str">
            <v>DKC4709</v>
          </cell>
          <cell r="AB4">
            <v>0</v>
          </cell>
          <cell r="AC4">
            <v>0</v>
          </cell>
        </row>
        <row r="5">
          <cell r="A5" t="str">
            <v>P9415</v>
          </cell>
          <cell r="B5">
            <v>13.648066785320788</v>
          </cell>
          <cell r="C5">
            <v>11.977936265785235</v>
          </cell>
          <cell r="D5" t="str">
            <v>Korai</v>
          </cell>
          <cell r="E5">
            <v>15.924999999999999</v>
          </cell>
          <cell r="F5">
            <v>16.55</v>
          </cell>
          <cell r="G5">
            <v>69.75</v>
          </cell>
          <cell r="H5">
            <v>68.5</v>
          </cell>
          <cell r="I5">
            <v>0</v>
          </cell>
          <cell r="J5">
            <v>0.56585677749360608</v>
          </cell>
          <cell r="K5">
            <v>0</v>
          </cell>
          <cell r="L5">
            <v>0</v>
          </cell>
          <cell r="M5" t="e">
            <v>#REF!</v>
          </cell>
          <cell r="N5" t="e">
            <v>#REF!</v>
          </cell>
          <cell r="O5" t="str">
            <v>P9415</v>
          </cell>
          <cell r="P5">
            <v>13.648066785320788</v>
          </cell>
          <cell r="Q5">
            <v>11.977936265785235</v>
          </cell>
          <cell r="R5" t="str">
            <v>DKC4590</v>
          </cell>
          <cell r="S5">
            <v>18.399999999999999</v>
          </cell>
          <cell r="T5">
            <v>18.324999999999999</v>
          </cell>
          <cell r="U5" t="str">
            <v>DKC4590</v>
          </cell>
          <cell r="V5">
            <v>70.25</v>
          </cell>
          <cell r="W5">
            <v>69.25</v>
          </cell>
          <cell r="X5" t="str">
            <v>DKC4590</v>
          </cell>
          <cell r="Y5">
            <v>1.1115321460149046</v>
          </cell>
          <cell r="Z5">
            <v>0.54347826086956519</v>
          </cell>
          <cell r="AA5" t="str">
            <v>DKC4590</v>
          </cell>
          <cell r="AB5">
            <v>0</v>
          </cell>
          <cell r="AC5">
            <v>0</v>
          </cell>
        </row>
        <row r="6">
          <cell r="A6" t="str">
            <v>Synopsis</v>
          </cell>
          <cell r="B6">
            <v>13.526623866429357</v>
          </cell>
          <cell r="C6">
            <v>12.028115518264258</v>
          </cell>
          <cell r="D6" t="str">
            <v>Korai</v>
          </cell>
          <cell r="E6">
            <v>17.350000000000001</v>
          </cell>
          <cell r="F6">
            <v>18.625</v>
          </cell>
          <cell r="G6">
            <v>69.75</v>
          </cell>
          <cell r="H6">
            <v>71</v>
          </cell>
          <cell r="I6">
            <v>0.595322466335932</v>
          </cell>
          <cell r="J6">
            <v>0.8462532299741603</v>
          </cell>
          <cell r="K6">
            <v>0</v>
          </cell>
          <cell r="L6">
            <v>0</v>
          </cell>
          <cell r="M6" t="e">
            <v>#REF!</v>
          </cell>
          <cell r="N6" t="e">
            <v>#REF!</v>
          </cell>
          <cell r="O6" t="str">
            <v>Synopsis</v>
          </cell>
          <cell r="P6">
            <v>13.526623866429357</v>
          </cell>
          <cell r="Q6">
            <v>12.028115518264258</v>
          </cell>
          <cell r="R6" t="str">
            <v>KWS Hypolito</v>
          </cell>
          <cell r="S6">
            <v>16.375</v>
          </cell>
          <cell r="T6">
            <v>17.162500000000001</v>
          </cell>
          <cell r="U6" t="str">
            <v>KWS Hypolito</v>
          </cell>
          <cell r="V6">
            <v>69.75</v>
          </cell>
          <cell r="W6">
            <v>68.5</v>
          </cell>
          <cell r="X6" t="str">
            <v>KWS Hypolito</v>
          </cell>
          <cell r="Y6">
            <v>0</v>
          </cell>
          <cell r="Z6">
            <v>0.29411764705882354</v>
          </cell>
          <cell r="AA6" t="str">
            <v>KWS Hypolito</v>
          </cell>
          <cell r="AB6">
            <v>0</v>
          </cell>
          <cell r="AC6">
            <v>0</v>
          </cell>
        </row>
        <row r="7">
          <cell r="A7" t="str">
            <v>SG167</v>
          </cell>
          <cell r="B7">
            <v>13.641400542418848</v>
          </cell>
          <cell r="C7">
            <v>12.164015170777185</v>
          </cell>
          <cell r="D7" t="str">
            <v>Korai</v>
          </cell>
          <cell r="E7">
            <v>16.600000000000001</v>
          </cell>
          <cell r="F7">
            <v>17.45</v>
          </cell>
          <cell r="G7">
            <v>72</v>
          </cell>
          <cell r="H7">
            <v>71.75</v>
          </cell>
          <cell r="I7">
            <v>0</v>
          </cell>
          <cell r="J7">
            <v>0.57471264367816088</v>
          </cell>
          <cell r="K7">
            <v>0</v>
          </cell>
          <cell r="L7">
            <v>0</v>
          </cell>
          <cell r="M7" t="e">
            <v>#REF!</v>
          </cell>
          <cell r="N7" t="e">
            <v>#REF!</v>
          </cell>
          <cell r="O7" t="str">
            <v>SG167</v>
          </cell>
          <cell r="P7">
            <v>13.641400542418848</v>
          </cell>
          <cell r="Q7">
            <v>12.164015170777185</v>
          </cell>
          <cell r="R7" t="str">
            <v>Loupiac</v>
          </cell>
          <cell r="S7">
            <v>20.700000000000003</v>
          </cell>
          <cell r="T7">
            <v>20.287500000000001</v>
          </cell>
          <cell r="U7" t="str">
            <v>Loupiac</v>
          </cell>
          <cell r="V7">
            <v>70.75</v>
          </cell>
          <cell r="W7">
            <v>69</v>
          </cell>
          <cell r="X7" t="str">
            <v>Loupiac</v>
          </cell>
          <cell r="Y7">
            <v>0</v>
          </cell>
          <cell r="Z7">
            <v>0</v>
          </cell>
          <cell r="AA7" t="str">
            <v>Loupiac</v>
          </cell>
          <cell r="AB7">
            <v>0</v>
          </cell>
          <cell r="AC7">
            <v>0</v>
          </cell>
        </row>
        <row r="8">
          <cell r="A8" t="str">
            <v>P9610</v>
          </cell>
          <cell r="B8">
            <v>13.083223578269344</v>
          </cell>
          <cell r="C8">
            <v>12.186592507839645</v>
          </cell>
          <cell r="D8" t="str">
            <v>Korai</v>
          </cell>
          <cell r="E8">
            <v>17.475000000000001</v>
          </cell>
          <cell r="F8">
            <v>18.75</v>
          </cell>
          <cell r="G8">
            <v>69.25</v>
          </cell>
          <cell r="H8">
            <v>68</v>
          </cell>
          <cell r="I8">
            <v>0</v>
          </cell>
          <cell r="J8">
            <v>0.90737514518002316</v>
          </cell>
          <cell r="K8">
            <v>0</v>
          </cell>
          <cell r="L8">
            <v>0.6097560975609756</v>
          </cell>
          <cell r="M8" t="e">
            <v>#REF!</v>
          </cell>
          <cell r="N8" t="e">
            <v>#REF!</v>
          </cell>
          <cell r="O8" t="str">
            <v>P9610</v>
          </cell>
          <cell r="P8">
            <v>13.083223578269344</v>
          </cell>
          <cell r="Q8">
            <v>12.186592507839645</v>
          </cell>
          <cell r="R8" t="str">
            <v>Merida</v>
          </cell>
          <cell r="S8">
            <v>17.25</v>
          </cell>
          <cell r="T8">
            <v>19.05</v>
          </cell>
          <cell r="U8" t="str">
            <v>Merida</v>
          </cell>
          <cell r="V8">
            <v>70</v>
          </cell>
          <cell r="W8">
            <v>69</v>
          </cell>
          <cell r="X8" t="str">
            <v>Merida</v>
          </cell>
          <cell r="Y8">
            <v>0.58823529411764708</v>
          </cell>
          <cell r="Z8">
            <v>0.31645569620253167</v>
          </cell>
          <cell r="AA8" t="str">
            <v>Merida</v>
          </cell>
          <cell r="AB8">
            <v>0</v>
          </cell>
          <cell r="AC8">
            <v>0</v>
          </cell>
        </row>
        <row r="9">
          <cell r="A9" t="str">
            <v>DKC4391</v>
          </cell>
          <cell r="B9">
            <v>13.372860623781676</v>
          </cell>
          <cell r="C9">
            <v>11.682474150351723</v>
          </cell>
          <cell r="D9" t="str">
            <v>Korai</v>
          </cell>
          <cell r="E9">
            <v>17.2</v>
          </cell>
          <cell r="F9">
            <v>18.925000000000001</v>
          </cell>
          <cell r="G9">
            <v>70.5</v>
          </cell>
          <cell r="H9">
            <v>69</v>
          </cell>
          <cell r="I9">
            <v>0</v>
          </cell>
          <cell r="J9">
            <v>0.28735632183908044</v>
          </cell>
          <cell r="K9">
            <v>0</v>
          </cell>
          <cell r="L9">
            <v>0</v>
          </cell>
          <cell r="M9" t="e">
            <v>#REF!</v>
          </cell>
          <cell r="N9" t="e">
            <v>#REF!</v>
          </cell>
          <cell r="O9" t="str">
            <v>DKC4391</v>
          </cell>
          <cell r="P9">
            <v>13.372860623781676</v>
          </cell>
          <cell r="Q9">
            <v>11.682474150351723</v>
          </cell>
          <cell r="R9" t="str">
            <v>Mv352</v>
          </cell>
          <cell r="S9">
            <v>23.774999999999999</v>
          </cell>
          <cell r="T9">
            <v>22.375</v>
          </cell>
          <cell r="U9" t="str">
            <v>Mv352</v>
          </cell>
          <cell r="V9">
            <v>71</v>
          </cell>
          <cell r="W9">
            <v>70</v>
          </cell>
          <cell r="X9" t="str">
            <v>Mv352</v>
          </cell>
          <cell r="Y9">
            <v>0</v>
          </cell>
          <cell r="Z9">
            <v>0</v>
          </cell>
          <cell r="AA9" t="str">
            <v>Mv352</v>
          </cell>
          <cell r="AB9">
            <v>0</v>
          </cell>
          <cell r="AC9">
            <v>0</v>
          </cell>
        </row>
        <row r="10">
          <cell r="A10" t="str">
            <v>SyZefir</v>
          </cell>
          <cell r="B10">
            <v>13.17538880413594</v>
          </cell>
          <cell r="C10">
            <v>11.568100050851768</v>
          </cell>
          <cell r="D10" t="str">
            <v>Korai</v>
          </cell>
          <cell r="E10">
            <v>20.25</v>
          </cell>
          <cell r="F10">
            <v>19.912500000000001</v>
          </cell>
          <cell r="G10">
            <v>69.75</v>
          </cell>
          <cell r="H10">
            <v>69.75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#REF!</v>
          </cell>
          <cell r="N10" t="e">
            <v>#REF!</v>
          </cell>
          <cell r="O10" t="str">
            <v>SyZefir</v>
          </cell>
          <cell r="P10">
            <v>13.17538880413594</v>
          </cell>
          <cell r="Q10">
            <v>11.568100050851768</v>
          </cell>
          <cell r="R10" t="str">
            <v>P9363</v>
          </cell>
          <cell r="S10">
            <v>16.950000000000003</v>
          </cell>
          <cell r="T10">
            <v>17.837499999999999</v>
          </cell>
          <cell r="U10" t="str">
            <v>P9363</v>
          </cell>
          <cell r="V10">
            <v>69</v>
          </cell>
          <cell r="W10">
            <v>67.25</v>
          </cell>
          <cell r="X10" t="str">
            <v>P9363</v>
          </cell>
          <cell r="Y10">
            <v>0.29761904761904762</v>
          </cell>
          <cell r="Z10">
            <v>0.54347826086956519</v>
          </cell>
          <cell r="AA10" t="str">
            <v>P9363</v>
          </cell>
          <cell r="AB10">
            <v>0</v>
          </cell>
          <cell r="AC10">
            <v>0</v>
          </cell>
        </row>
        <row r="11">
          <cell r="A11" t="str">
            <v>Merida</v>
          </cell>
          <cell r="B11">
            <v>13.415340071192473</v>
          </cell>
          <cell r="C11">
            <v>11.59605792863802</v>
          </cell>
          <cell r="D11" t="str">
            <v>Korai</v>
          </cell>
          <cell r="E11">
            <v>17.25</v>
          </cell>
          <cell r="F11">
            <v>19.05</v>
          </cell>
          <cell r="G11">
            <v>70</v>
          </cell>
          <cell r="H11">
            <v>69</v>
          </cell>
          <cell r="I11">
            <v>0.58823529411764708</v>
          </cell>
          <cell r="J11">
            <v>0.31645569620253167</v>
          </cell>
          <cell r="K11">
            <v>0</v>
          </cell>
          <cell r="L11">
            <v>0</v>
          </cell>
          <cell r="M11" t="e">
            <v>#REF!</v>
          </cell>
          <cell r="N11" t="e">
            <v>#REF!</v>
          </cell>
          <cell r="O11" t="str">
            <v>Merida</v>
          </cell>
          <cell r="P11">
            <v>13.415340071192473</v>
          </cell>
          <cell r="Q11">
            <v>11.59605792863802</v>
          </cell>
          <cell r="R11" t="str">
            <v>P9415</v>
          </cell>
          <cell r="S11">
            <v>15.924999999999999</v>
          </cell>
          <cell r="T11">
            <v>16.55</v>
          </cell>
          <cell r="U11" t="str">
            <v>P9415</v>
          </cell>
          <cell r="V11">
            <v>69.75</v>
          </cell>
          <cell r="W11">
            <v>68.5</v>
          </cell>
          <cell r="X11" t="str">
            <v>P9415</v>
          </cell>
          <cell r="Y11">
            <v>0</v>
          </cell>
          <cell r="Z11">
            <v>0.56585677749360608</v>
          </cell>
          <cell r="AA11" t="str">
            <v>P9415</v>
          </cell>
          <cell r="AB11">
            <v>0</v>
          </cell>
          <cell r="AC11">
            <v>0</v>
          </cell>
        </row>
        <row r="12">
          <cell r="A12" t="str">
            <v>Filea</v>
          </cell>
          <cell r="B12">
            <v>12.824981354352063</v>
          </cell>
          <cell r="C12">
            <v>11.538447749809304</v>
          </cell>
          <cell r="D12" t="str">
            <v>Korai</v>
          </cell>
          <cell r="E12">
            <v>17.2</v>
          </cell>
          <cell r="F12">
            <v>18.512499999999999</v>
          </cell>
          <cell r="G12">
            <v>69.75</v>
          </cell>
          <cell r="H12">
            <v>68.5</v>
          </cell>
          <cell r="I12">
            <v>0.5494505494505495</v>
          </cell>
          <cell r="J12">
            <v>0.27173913043478259</v>
          </cell>
          <cell r="K12">
            <v>0</v>
          </cell>
          <cell r="L12">
            <v>0</v>
          </cell>
          <cell r="M12" t="e">
            <v>#REF!</v>
          </cell>
          <cell r="N12" t="e">
            <v>#REF!</v>
          </cell>
          <cell r="O12" t="str">
            <v>Filea</v>
          </cell>
          <cell r="P12">
            <v>12.824981354352063</v>
          </cell>
          <cell r="Q12">
            <v>11.538447749809304</v>
          </cell>
          <cell r="R12" t="str">
            <v>P9610</v>
          </cell>
          <cell r="S12">
            <v>17.475000000000001</v>
          </cell>
          <cell r="T12">
            <v>18.75</v>
          </cell>
          <cell r="U12" t="str">
            <v>P9610</v>
          </cell>
          <cell r="V12">
            <v>69.25</v>
          </cell>
          <cell r="W12">
            <v>68</v>
          </cell>
          <cell r="X12" t="str">
            <v>P9610</v>
          </cell>
          <cell r="Y12">
            <v>0</v>
          </cell>
          <cell r="Z12">
            <v>0.90737514518002316</v>
          </cell>
          <cell r="AA12" t="str">
            <v>P9610</v>
          </cell>
          <cell r="AB12">
            <v>0</v>
          </cell>
          <cell r="AC12">
            <v>0.6097560975609756</v>
          </cell>
        </row>
        <row r="13">
          <cell r="A13" t="str">
            <v>Cali</v>
          </cell>
          <cell r="B13">
            <v>12.365426519196543</v>
          </cell>
          <cell r="C13">
            <v>11.806485507246375</v>
          </cell>
          <cell r="D13" t="str">
            <v>Korai</v>
          </cell>
          <cell r="E13">
            <v>17.974999999999998</v>
          </cell>
          <cell r="F13">
            <v>18.862500000000001</v>
          </cell>
          <cell r="G13">
            <v>69.75</v>
          </cell>
          <cell r="H13">
            <v>68</v>
          </cell>
          <cell r="I13">
            <v>0.29069767441860467</v>
          </cell>
          <cell r="J13">
            <v>0.57471264367816088</v>
          </cell>
          <cell r="K13">
            <v>0</v>
          </cell>
          <cell r="L13">
            <v>0</v>
          </cell>
          <cell r="M13" t="e">
            <v>#REF!</v>
          </cell>
          <cell r="N13" t="e">
            <v>#REF!</v>
          </cell>
          <cell r="O13" t="str">
            <v>Cali</v>
          </cell>
          <cell r="P13">
            <v>12.365426519196543</v>
          </cell>
          <cell r="Q13">
            <v>11.806485507246375</v>
          </cell>
          <cell r="R13" t="str">
            <v>SG167</v>
          </cell>
          <cell r="S13">
            <v>16.600000000000001</v>
          </cell>
          <cell r="T13">
            <v>17.45</v>
          </cell>
          <cell r="U13" t="str">
            <v>SG167</v>
          </cell>
          <cell r="V13">
            <v>72</v>
          </cell>
          <cell r="W13">
            <v>71.75</v>
          </cell>
          <cell r="X13" t="str">
            <v>SG167</v>
          </cell>
          <cell r="Y13">
            <v>0</v>
          </cell>
          <cell r="Z13">
            <v>0.57471264367816088</v>
          </cell>
          <cell r="AA13" t="str">
            <v>SG167</v>
          </cell>
          <cell r="AB13">
            <v>0</v>
          </cell>
          <cell r="AC13">
            <v>0</v>
          </cell>
        </row>
        <row r="14">
          <cell r="A14" t="str">
            <v>Loupiac</v>
          </cell>
          <cell r="B14">
            <v>12.550805576743793</v>
          </cell>
          <cell r="C14">
            <v>11.704605475040259</v>
          </cell>
          <cell r="D14" t="str">
            <v>Korai</v>
          </cell>
          <cell r="E14">
            <v>20.700000000000003</v>
          </cell>
          <cell r="F14">
            <v>20.287500000000001</v>
          </cell>
          <cell r="G14">
            <v>70.75</v>
          </cell>
          <cell r="H14">
            <v>69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#REF!</v>
          </cell>
          <cell r="N14" t="e">
            <v>#REF!</v>
          </cell>
          <cell r="O14" t="str">
            <v>Loupiac</v>
          </cell>
          <cell r="P14">
            <v>12.550805576743793</v>
          </cell>
          <cell r="Q14">
            <v>11.704605475040259</v>
          </cell>
          <cell r="R14" t="str">
            <v>Filea</v>
          </cell>
          <cell r="S14">
            <v>17.2</v>
          </cell>
          <cell r="T14">
            <v>18.512499999999999</v>
          </cell>
          <cell r="U14" t="str">
            <v>Filea</v>
          </cell>
          <cell r="V14">
            <v>69.75</v>
          </cell>
          <cell r="W14">
            <v>68.5</v>
          </cell>
          <cell r="X14" t="str">
            <v>Filea</v>
          </cell>
          <cell r="Y14">
            <v>0.5494505494505495</v>
          </cell>
          <cell r="Z14">
            <v>0.27173913043478259</v>
          </cell>
          <cell r="AA14" t="str">
            <v>Filea</v>
          </cell>
          <cell r="AB14">
            <v>0</v>
          </cell>
          <cell r="AC14">
            <v>0</v>
          </cell>
        </row>
        <row r="15">
          <cell r="A15" t="str">
            <v>Barington</v>
          </cell>
          <cell r="B15">
            <v>12.35858060005085</v>
          </cell>
          <cell r="C15">
            <v>11.12844965675057</v>
          </cell>
          <cell r="D15" t="str">
            <v>Korai</v>
          </cell>
          <cell r="E15">
            <v>17.350000000000001</v>
          </cell>
          <cell r="F15">
            <v>18.0625</v>
          </cell>
          <cell r="G15">
            <v>68.25</v>
          </cell>
          <cell r="H15">
            <v>67</v>
          </cell>
          <cell r="I15">
            <v>0</v>
          </cell>
          <cell r="J15">
            <v>0.84915407464806925</v>
          </cell>
          <cell r="K15">
            <v>0</v>
          </cell>
          <cell r="L15">
            <v>0</v>
          </cell>
          <cell r="M15" t="e">
            <v>#REF!</v>
          </cell>
          <cell r="N15" t="e">
            <v>#REF!</v>
          </cell>
          <cell r="O15" t="str">
            <v>Barington</v>
          </cell>
          <cell r="P15">
            <v>12.35858060005085</v>
          </cell>
          <cell r="Q15">
            <v>11.12844965675057</v>
          </cell>
          <cell r="R15" t="str">
            <v>Barington</v>
          </cell>
          <cell r="S15">
            <v>17.350000000000001</v>
          </cell>
          <cell r="T15">
            <v>18.0625</v>
          </cell>
          <cell r="U15" t="str">
            <v>Barington</v>
          </cell>
          <cell r="V15">
            <v>68.25</v>
          </cell>
          <cell r="W15">
            <v>67</v>
          </cell>
          <cell r="X15" t="str">
            <v>Barington</v>
          </cell>
          <cell r="Y15">
            <v>0</v>
          </cell>
          <cell r="Z15">
            <v>0.84915407464806925</v>
          </cell>
          <cell r="AA15" t="str">
            <v>Barington</v>
          </cell>
          <cell r="AB15">
            <v>0</v>
          </cell>
          <cell r="AC15">
            <v>0</v>
          </cell>
        </row>
        <row r="16">
          <cell r="A16" t="str">
            <v>DKC4590</v>
          </cell>
          <cell r="B16">
            <v>12.257997499788116</v>
          </cell>
          <cell r="C16">
            <v>10.806003262988387</v>
          </cell>
          <cell r="D16" t="str">
            <v>Korai</v>
          </cell>
          <cell r="E16">
            <v>18.399999999999999</v>
          </cell>
          <cell r="F16">
            <v>18.324999999999999</v>
          </cell>
          <cell r="G16">
            <v>70.25</v>
          </cell>
          <cell r="H16">
            <v>69.25</v>
          </cell>
          <cell r="I16">
            <v>1.1115321460149046</v>
          </cell>
          <cell r="J16">
            <v>0.54347826086956519</v>
          </cell>
          <cell r="K16">
            <v>0</v>
          </cell>
          <cell r="L16">
            <v>0</v>
          </cell>
          <cell r="M16" t="e">
            <v>#REF!</v>
          </cell>
          <cell r="N16" t="e">
            <v>#REF!</v>
          </cell>
          <cell r="O16" t="str">
            <v>DKC4590</v>
          </cell>
          <cell r="P16">
            <v>12.257997499788116</v>
          </cell>
          <cell r="Q16">
            <v>10.806003262988387</v>
          </cell>
          <cell r="R16" t="str">
            <v>Synopsis</v>
          </cell>
          <cell r="S16">
            <v>17.350000000000001</v>
          </cell>
          <cell r="T16">
            <v>18.625</v>
          </cell>
          <cell r="U16" t="str">
            <v>Synopsis</v>
          </cell>
          <cell r="V16">
            <v>69.75</v>
          </cell>
          <cell r="W16">
            <v>71</v>
          </cell>
          <cell r="X16" t="str">
            <v>Synopsis</v>
          </cell>
          <cell r="Y16">
            <v>0.595322466335932</v>
          </cell>
          <cell r="Z16">
            <v>0.8462532299741603</v>
          </cell>
          <cell r="AA16" t="str">
            <v>Synopsis</v>
          </cell>
          <cell r="AB16">
            <v>0</v>
          </cell>
          <cell r="AC16">
            <v>0</v>
          </cell>
        </row>
        <row r="17">
          <cell r="A17" t="str">
            <v>Mv352</v>
          </cell>
          <cell r="B17">
            <v>11.919057123485041</v>
          </cell>
          <cell r="C17">
            <v>10.726655648783796</v>
          </cell>
          <cell r="D17" t="str">
            <v>Korai</v>
          </cell>
          <cell r="E17">
            <v>23.774999999999999</v>
          </cell>
          <cell r="F17">
            <v>22.375</v>
          </cell>
          <cell r="G17">
            <v>71</v>
          </cell>
          <cell r="H17">
            <v>70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 t="e">
            <v>#REF!</v>
          </cell>
          <cell r="N17" t="e">
            <v>#REF!</v>
          </cell>
          <cell r="O17" t="str">
            <v>Mv352</v>
          </cell>
          <cell r="P17">
            <v>11.919057123485041</v>
          </cell>
          <cell r="Q17">
            <v>10.726655648783796</v>
          </cell>
          <cell r="R17" t="str">
            <v>SyZefir</v>
          </cell>
          <cell r="S17">
            <v>20.25</v>
          </cell>
          <cell r="T17">
            <v>19.912500000000001</v>
          </cell>
          <cell r="U17" t="str">
            <v>SyZefir</v>
          </cell>
          <cell r="V17">
            <v>69.75</v>
          </cell>
          <cell r="W17">
            <v>69.75</v>
          </cell>
          <cell r="X17" t="str">
            <v>SyZefir</v>
          </cell>
          <cell r="Y17">
            <v>0</v>
          </cell>
          <cell r="Z17">
            <v>0</v>
          </cell>
          <cell r="AA17" t="str">
            <v>SyZefir</v>
          </cell>
          <cell r="AB17">
            <v>0</v>
          </cell>
          <cell r="AC17">
            <v>0</v>
          </cell>
        </row>
        <row r="18">
          <cell r="A18" t="str">
            <v>Átlag_korai</v>
          </cell>
          <cell r="B18">
            <v>13.107086882362911</v>
          </cell>
          <cell r="C18">
            <v>11.819722487075175</v>
          </cell>
          <cell r="D18" t="str">
            <v>Korai</v>
          </cell>
          <cell r="E18">
            <v>18.125</v>
          </cell>
          <cell r="F18">
            <v>18.767968750000001</v>
          </cell>
          <cell r="G18">
            <v>69.984375</v>
          </cell>
          <cell r="H18">
            <v>69</v>
          </cell>
          <cell r="I18">
            <v>0.21455357362229283</v>
          </cell>
          <cell r="J18">
            <v>0.42847429427068895</v>
          </cell>
          <cell r="K18">
            <v>0</v>
          </cell>
          <cell r="L18">
            <v>3.8109756097560975E-2</v>
          </cell>
          <cell r="O18" t="str">
            <v>Átlag_korai</v>
          </cell>
          <cell r="P18">
            <v>13.107086882362911</v>
          </cell>
          <cell r="Q18">
            <v>11.819722487075175</v>
          </cell>
          <cell r="R18" t="str">
            <v>Átlag_korai</v>
          </cell>
          <cell r="S18">
            <v>18.125</v>
          </cell>
          <cell r="T18">
            <v>18.767968750000001</v>
          </cell>
          <cell r="U18" t="str">
            <v>Átlag_korai</v>
          </cell>
          <cell r="V18">
            <v>69.984375</v>
          </cell>
          <cell r="W18">
            <v>69</v>
          </cell>
          <cell r="X18" t="str">
            <v>Átlag_korai</v>
          </cell>
          <cell r="Y18">
            <v>0.21455357362229283</v>
          </cell>
          <cell r="Z18">
            <v>0.42847429427068895</v>
          </cell>
          <cell r="AA18" t="str">
            <v>Átlag_korai</v>
          </cell>
          <cell r="AB18">
            <v>0</v>
          </cell>
          <cell r="AC18">
            <v>3.8109756097560975E-2</v>
          </cell>
        </row>
        <row r="19">
          <cell r="A19" t="str">
            <v>Max_korai</v>
          </cell>
          <cell r="B19">
            <v>14.663449868632938</v>
          </cell>
          <cell r="C19">
            <v>13.288203661327231</v>
          </cell>
          <cell r="D19" t="str">
            <v>Korai</v>
          </cell>
          <cell r="E19">
            <v>23.774999999999999</v>
          </cell>
          <cell r="F19">
            <v>22.375</v>
          </cell>
          <cell r="G19">
            <v>72</v>
          </cell>
          <cell r="H19">
            <v>71.75</v>
          </cell>
          <cell r="I19">
            <v>1.1115321460149046</v>
          </cell>
          <cell r="J19">
            <v>0.90737514518002316</v>
          </cell>
          <cell r="K19">
            <v>0</v>
          </cell>
          <cell r="L19">
            <v>0.6097560975609756</v>
          </cell>
          <cell r="O19" t="str">
            <v>Max_korai</v>
          </cell>
          <cell r="P19">
            <v>14.663449868632938</v>
          </cell>
          <cell r="Q19">
            <v>13.288203661327231</v>
          </cell>
          <cell r="R19" t="str">
            <v>Max_korai</v>
          </cell>
          <cell r="S19">
            <v>23.774999999999999</v>
          </cell>
          <cell r="T19">
            <v>22.375</v>
          </cell>
          <cell r="U19" t="str">
            <v>Max_korai</v>
          </cell>
          <cell r="V19">
            <v>72</v>
          </cell>
          <cell r="W19">
            <v>71.75</v>
          </cell>
          <cell r="X19" t="str">
            <v>Max_korai</v>
          </cell>
          <cell r="Y19">
            <v>1.1115321460149046</v>
          </cell>
          <cell r="Z19">
            <v>0.90737514518002316</v>
          </cell>
          <cell r="AA19" t="str">
            <v>Max_korai</v>
          </cell>
          <cell r="AB19">
            <v>0</v>
          </cell>
          <cell r="AC19">
            <v>0.6097560975609756</v>
          </cell>
        </row>
        <row r="20">
          <cell r="A20" t="str">
            <v>Min_korai</v>
          </cell>
          <cell r="B20">
            <v>11.734526654801252</v>
          </cell>
          <cell r="C20">
            <v>10.542125180100006</v>
          </cell>
          <cell r="D20" t="str">
            <v>Korai</v>
          </cell>
          <cell r="E20">
            <v>15.924999999999999</v>
          </cell>
          <cell r="F20">
            <v>16.55</v>
          </cell>
          <cell r="G20">
            <v>68.25</v>
          </cell>
          <cell r="H20">
            <v>67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 t="str">
            <v>Min_korai</v>
          </cell>
          <cell r="P20">
            <v>11.734526654801252</v>
          </cell>
          <cell r="Q20">
            <v>10.542125180100006</v>
          </cell>
          <cell r="R20" t="str">
            <v>Min_korai</v>
          </cell>
          <cell r="S20">
            <v>15.924999999999999</v>
          </cell>
          <cell r="T20">
            <v>16.55</v>
          </cell>
          <cell r="U20" t="str">
            <v>Min_korai</v>
          </cell>
          <cell r="V20">
            <v>68.25</v>
          </cell>
          <cell r="W20">
            <v>67</v>
          </cell>
          <cell r="X20" t="str">
            <v>Min_korai</v>
          </cell>
          <cell r="Y20">
            <v>0</v>
          </cell>
          <cell r="Z20">
            <v>0</v>
          </cell>
          <cell r="AA20" t="str">
            <v>Min_korai</v>
          </cell>
          <cell r="AB20">
            <v>0</v>
          </cell>
          <cell r="AC20">
            <v>0</v>
          </cell>
        </row>
        <row r="21">
          <cell r="A21" t="str">
            <v>DKC5092</v>
          </cell>
          <cell r="B21">
            <v>14.028961090326458</v>
          </cell>
          <cell r="C21">
            <v>13.132106110687348</v>
          </cell>
          <cell r="D21" t="str">
            <v>Közép</v>
          </cell>
          <cell r="E21">
            <v>23.150000000000002</v>
          </cell>
          <cell r="F21">
            <v>18.350000000000001</v>
          </cell>
          <cell r="G21">
            <v>68.25</v>
          </cell>
          <cell r="H21">
            <v>67.5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 t="e">
            <v>#REF!</v>
          </cell>
          <cell r="N21" t="e">
            <v>#REF!</v>
          </cell>
          <cell r="O21" t="str">
            <v>DKC5092</v>
          </cell>
          <cell r="P21">
            <v>14.028961090326458</v>
          </cell>
          <cell r="Q21">
            <v>13.132106110687348</v>
          </cell>
          <cell r="R21" t="str">
            <v>Armagnac</v>
          </cell>
          <cell r="S21">
            <v>23.750000000000004</v>
          </cell>
          <cell r="T21">
            <v>20.725000000000001</v>
          </cell>
          <cell r="U21" t="str">
            <v>Armagnac</v>
          </cell>
          <cell r="V21">
            <v>70</v>
          </cell>
          <cell r="W21">
            <v>72.75</v>
          </cell>
          <cell r="X21" t="str">
            <v>Armagnac</v>
          </cell>
          <cell r="Y21">
            <v>0</v>
          </cell>
          <cell r="Z21">
            <v>0.25252525252525254</v>
          </cell>
          <cell r="AA21" t="str">
            <v>Armagnac</v>
          </cell>
          <cell r="AB21">
            <v>0</v>
          </cell>
          <cell r="AC21">
            <v>0</v>
          </cell>
        </row>
        <row r="22">
          <cell r="A22" t="str">
            <v>DKC4897</v>
          </cell>
          <cell r="B22">
            <v>14.054173224930278</v>
          </cell>
          <cell r="C22">
            <v>12.885912577337063</v>
          </cell>
          <cell r="D22" t="str">
            <v>Közép</v>
          </cell>
          <cell r="E22">
            <v>20.675000000000001</v>
          </cell>
          <cell r="F22">
            <v>18.2</v>
          </cell>
          <cell r="G22">
            <v>70.5</v>
          </cell>
          <cell r="H22">
            <v>69.75</v>
          </cell>
          <cell r="I22">
            <v>0.28409090909090912</v>
          </cell>
          <cell r="J22">
            <v>0.51025721128813917</v>
          </cell>
          <cell r="K22">
            <v>0</v>
          </cell>
          <cell r="L22">
            <v>0</v>
          </cell>
          <cell r="M22" t="e">
            <v>#REF!</v>
          </cell>
          <cell r="N22" t="e">
            <v>#REF!</v>
          </cell>
          <cell r="O22" t="str">
            <v>DKC4897</v>
          </cell>
          <cell r="P22">
            <v>14.054173224930278</v>
          </cell>
          <cell r="Q22">
            <v>12.885912577337063</v>
          </cell>
          <cell r="R22" t="str">
            <v>Cadixxio Duo</v>
          </cell>
          <cell r="S22">
            <v>21.65</v>
          </cell>
          <cell r="T22">
            <v>20.6</v>
          </cell>
          <cell r="U22" t="str">
            <v>Cadixxio Duo</v>
          </cell>
          <cell r="V22">
            <v>70.75</v>
          </cell>
          <cell r="W22">
            <v>76</v>
          </cell>
          <cell r="X22" t="str">
            <v>Cadixxio Duo</v>
          </cell>
          <cell r="Y22">
            <v>0</v>
          </cell>
          <cell r="Z22">
            <v>0.51825993555316863</v>
          </cell>
          <cell r="AA22" t="str">
            <v>Cadixxio Duo</v>
          </cell>
          <cell r="AB22">
            <v>0</v>
          </cell>
          <cell r="AC22">
            <v>0</v>
          </cell>
        </row>
        <row r="23">
          <cell r="A23" t="str">
            <v>Fidencio</v>
          </cell>
          <cell r="B23">
            <v>14.01529074296046</v>
          </cell>
          <cell r="C23">
            <v>12.906895499618615</v>
          </cell>
          <cell r="D23" t="str">
            <v>Közép</v>
          </cell>
          <cell r="E23">
            <v>22.675000000000004</v>
          </cell>
          <cell r="F23">
            <v>19.475000000000001</v>
          </cell>
          <cell r="G23">
            <v>70.5</v>
          </cell>
          <cell r="H23">
            <v>69.25</v>
          </cell>
          <cell r="I23">
            <v>0.28409090909090912</v>
          </cell>
          <cell r="J23">
            <v>0</v>
          </cell>
          <cell r="K23">
            <v>0</v>
          </cell>
          <cell r="L23">
            <v>0</v>
          </cell>
          <cell r="M23" t="e">
            <v>#REF!</v>
          </cell>
          <cell r="N23" t="e">
            <v>#REF!</v>
          </cell>
          <cell r="O23" t="str">
            <v>Fidencio</v>
          </cell>
          <cell r="P23">
            <v>14.01529074296046</v>
          </cell>
          <cell r="Q23">
            <v>12.906895499618615</v>
          </cell>
          <cell r="R23" t="str">
            <v>Corassano</v>
          </cell>
          <cell r="S23">
            <v>24.375</v>
          </cell>
          <cell r="T23">
            <v>21.75</v>
          </cell>
          <cell r="U23" t="str">
            <v>Corassano</v>
          </cell>
          <cell r="V23">
            <v>71.25</v>
          </cell>
          <cell r="W23">
            <v>72.25</v>
          </cell>
          <cell r="X23" t="str">
            <v>Corassano</v>
          </cell>
          <cell r="Y23">
            <v>0.29761904761904762</v>
          </cell>
          <cell r="Z23">
            <v>0</v>
          </cell>
          <cell r="AA23" t="str">
            <v>Corassano</v>
          </cell>
          <cell r="AB23">
            <v>0</v>
          </cell>
          <cell r="AC23">
            <v>0</v>
          </cell>
        </row>
        <row r="24">
          <cell r="A24" t="str">
            <v>Mg440</v>
          </cell>
          <cell r="B24">
            <v>13.761497342389791</v>
          </cell>
          <cell r="C24">
            <v>12.725924336808204</v>
          </cell>
          <cell r="D24" t="str">
            <v>Közép</v>
          </cell>
          <cell r="E24">
            <v>23.35</v>
          </cell>
          <cell r="F24">
            <v>21.15</v>
          </cell>
          <cell r="G24">
            <v>69.25</v>
          </cell>
          <cell r="H24">
            <v>68.25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#REF!</v>
          </cell>
          <cell r="N24" t="e">
            <v>#REF!</v>
          </cell>
          <cell r="O24" t="str">
            <v>Mg440</v>
          </cell>
          <cell r="P24">
            <v>13.761497342389791</v>
          </cell>
          <cell r="Q24">
            <v>12.725924336808204</v>
          </cell>
          <cell r="R24" t="str">
            <v>DKC4897</v>
          </cell>
          <cell r="S24">
            <v>20.675000000000001</v>
          </cell>
          <cell r="T24">
            <v>18.2</v>
          </cell>
          <cell r="U24" t="str">
            <v>DKC4897</v>
          </cell>
          <cell r="V24">
            <v>70.5</v>
          </cell>
          <cell r="W24">
            <v>69.75</v>
          </cell>
          <cell r="X24" t="str">
            <v>DKC4897</v>
          </cell>
          <cell r="Y24">
            <v>0.28409090909090912</v>
          </cell>
          <cell r="Z24">
            <v>0.51025721128813917</v>
          </cell>
          <cell r="AA24" t="str">
            <v>DKC4897</v>
          </cell>
          <cell r="AB24">
            <v>0</v>
          </cell>
          <cell r="AC24">
            <v>0</v>
          </cell>
        </row>
        <row r="25">
          <cell r="A25" t="str">
            <v>Kabaretto</v>
          </cell>
          <cell r="B25">
            <v>13.151987305219571</v>
          </cell>
          <cell r="C25">
            <v>11.860255847953217</v>
          </cell>
          <cell r="D25" t="str">
            <v>Közép</v>
          </cell>
          <cell r="E25">
            <v>19.5</v>
          </cell>
          <cell r="F25">
            <v>18.600000000000001</v>
          </cell>
          <cell r="G25">
            <v>70</v>
          </cell>
          <cell r="H25">
            <v>69.5</v>
          </cell>
          <cell r="I25">
            <v>0</v>
          </cell>
          <cell r="J25">
            <v>0.26881720430107531</v>
          </cell>
          <cell r="K25">
            <v>0</v>
          </cell>
          <cell r="L25">
            <v>0</v>
          </cell>
          <cell r="M25" t="e">
            <v>#REF!</v>
          </cell>
          <cell r="N25" t="e">
            <v>#REF!</v>
          </cell>
          <cell r="O25" t="str">
            <v>Kabaretto</v>
          </cell>
          <cell r="P25">
            <v>13.151987305219571</v>
          </cell>
          <cell r="Q25">
            <v>11.860255847953217</v>
          </cell>
          <cell r="R25" t="str">
            <v>DKC4943</v>
          </cell>
          <cell r="S25">
            <v>18.275000000000002</v>
          </cell>
          <cell r="T25">
            <v>17.225000000000001</v>
          </cell>
          <cell r="U25" t="str">
            <v>DKC4943</v>
          </cell>
          <cell r="V25">
            <v>70</v>
          </cell>
          <cell r="W25">
            <v>69</v>
          </cell>
          <cell r="X25" t="str">
            <v>DKC4943</v>
          </cell>
          <cell r="Y25">
            <v>0</v>
          </cell>
          <cell r="Z25">
            <v>0</v>
          </cell>
          <cell r="AA25" t="str">
            <v>DKC4943</v>
          </cell>
          <cell r="AB25">
            <v>0</v>
          </cell>
          <cell r="AC25">
            <v>0</v>
          </cell>
        </row>
        <row r="26">
          <cell r="A26" t="str">
            <v>KWS Inteligens</v>
          </cell>
          <cell r="B26">
            <v>13.80061960456697</v>
          </cell>
          <cell r="C26">
            <v>12.159082761250954</v>
          </cell>
          <cell r="D26" t="str">
            <v>Közép</v>
          </cell>
          <cell r="E26">
            <v>20</v>
          </cell>
          <cell r="F26">
            <v>18.450000000000003</v>
          </cell>
          <cell r="G26">
            <v>69.75</v>
          </cell>
          <cell r="H26">
            <v>68</v>
          </cell>
          <cell r="I26">
            <v>0</v>
          </cell>
          <cell r="J26">
            <v>0.28409090909090912</v>
          </cell>
          <cell r="K26">
            <v>0</v>
          </cell>
          <cell r="L26">
            <v>0</v>
          </cell>
          <cell r="M26" t="e">
            <v>#REF!</v>
          </cell>
          <cell r="N26" t="e">
            <v>#REF!</v>
          </cell>
          <cell r="O26" t="str">
            <v>KWS Inteligens</v>
          </cell>
          <cell r="P26">
            <v>13.80061960456697</v>
          </cell>
          <cell r="Q26">
            <v>12.159082761250954</v>
          </cell>
          <cell r="R26" t="str">
            <v>DKC5092</v>
          </cell>
          <cell r="S26">
            <v>23.150000000000002</v>
          </cell>
          <cell r="T26">
            <v>18.350000000000001</v>
          </cell>
          <cell r="U26" t="str">
            <v>DKC5092</v>
          </cell>
          <cell r="V26">
            <v>68.25</v>
          </cell>
          <cell r="W26">
            <v>67.5</v>
          </cell>
          <cell r="X26" t="str">
            <v>DKC5092</v>
          </cell>
          <cell r="Y26">
            <v>0</v>
          </cell>
          <cell r="Z26">
            <v>0</v>
          </cell>
          <cell r="AA26" t="str">
            <v>DKC5092</v>
          </cell>
          <cell r="AB26">
            <v>0</v>
          </cell>
          <cell r="AC26">
            <v>0</v>
          </cell>
        </row>
        <row r="27">
          <cell r="A27" t="str">
            <v>P9978</v>
          </cell>
          <cell r="B27">
            <v>13.589684355817081</v>
          </cell>
          <cell r="C27">
            <v>11.338563331638273</v>
          </cell>
          <cell r="D27" t="str">
            <v>Közép</v>
          </cell>
          <cell r="E27">
            <v>17.925000000000001</v>
          </cell>
          <cell r="F27">
            <v>17.375</v>
          </cell>
          <cell r="G27">
            <v>69.25</v>
          </cell>
          <cell r="H27">
            <v>68.25</v>
          </cell>
          <cell r="I27">
            <v>0.28409090909090912</v>
          </cell>
          <cell r="J27">
            <v>0</v>
          </cell>
          <cell r="K27">
            <v>0</v>
          </cell>
          <cell r="L27">
            <v>0</v>
          </cell>
          <cell r="M27" t="e">
            <v>#REF!</v>
          </cell>
          <cell r="N27" t="e">
            <v>#REF!</v>
          </cell>
          <cell r="O27" t="str">
            <v>P9978</v>
          </cell>
          <cell r="P27">
            <v>13.589684355817081</v>
          </cell>
          <cell r="Q27">
            <v>11.338563331638273</v>
          </cell>
          <cell r="R27" t="str">
            <v>Fidencio</v>
          </cell>
          <cell r="S27">
            <v>22.675000000000004</v>
          </cell>
          <cell r="T27">
            <v>19.475000000000001</v>
          </cell>
          <cell r="U27" t="str">
            <v>Fidencio</v>
          </cell>
          <cell r="V27">
            <v>70.5</v>
          </cell>
          <cell r="W27">
            <v>69.25</v>
          </cell>
          <cell r="X27" t="str">
            <v>Fidencio</v>
          </cell>
          <cell r="Y27">
            <v>0.28409090909090912</v>
          </cell>
          <cell r="Z27">
            <v>0</v>
          </cell>
          <cell r="AA27" t="str">
            <v>Fidencio</v>
          </cell>
          <cell r="AB27">
            <v>0</v>
          </cell>
          <cell r="AC27">
            <v>0</v>
          </cell>
        </row>
        <row r="28">
          <cell r="A28" t="str">
            <v>DKC4943</v>
          </cell>
          <cell r="B28">
            <v>12.605635061889826</v>
          </cell>
          <cell r="C28">
            <v>11.349180333079074</v>
          </cell>
          <cell r="D28" t="str">
            <v>Közép</v>
          </cell>
          <cell r="E28">
            <v>18.275000000000002</v>
          </cell>
          <cell r="F28">
            <v>17.225000000000001</v>
          </cell>
          <cell r="G28">
            <v>70</v>
          </cell>
          <cell r="H28">
            <v>69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e">
            <v>#REF!</v>
          </cell>
          <cell r="N28" t="e">
            <v>#REF!</v>
          </cell>
          <cell r="O28" t="str">
            <v>DKC4943</v>
          </cell>
          <cell r="P28">
            <v>12.605635061889826</v>
          </cell>
          <cell r="Q28">
            <v>11.349180333079074</v>
          </cell>
          <cell r="R28" t="str">
            <v>Fornad</v>
          </cell>
          <cell r="S28">
            <v>20.575000000000003</v>
          </cell>
          <cell r="T28">
            <v>18.449999999999996</v>
          </cell>
          <cell r="U28" t="str">
            <v>Fornad</v>
          </cell>
          <cell r="V28">
            <v>69</v>
          </cell>
          <cell r="W28">
            <v>67.75</v>
          </cell>
          <cell r="X28" t="str">
            <v>Fornad</v>
          </cell>
          <cell r="Y28">
            <v>0</v>
          </cell>
          <cell r="Z28">
            <v>0</v>
          </cell>
          <cell r="AA28" t="str">
            <v>Fornad</v>
          </cell>
          <cell r="AB28">
            <v>0</v>
          </cell>
          <cell r="AC28">
            <v>0</v>
          </cell>
        </row>
        <row r="29">
          <cell r="A29" t="str">
            <v>Corassano</v>
          </cell>
          <cell r="B29">
            <v>12.894715552972608</v>
          </cell>
          <cell r="C29">
            <v>11.813736121705229</v>
          </cell>
          <cell r="D29" t="str">
            <v>Közép</v>
          </cell>
          <cell r="E29">
            <v>24.375</v>
          </cell>
          <cell r="F29">
            <v>21.75</v>
          </cell>
          <cell r="G29">
            <v>71.25</v>
          </cell>
          <cell r="H29">
            <v>72.25</v>
          </cell>
          <cell r="I29">
            <v>0.29761904761904762</v>
          </cell>
          <cell r="J29">
            <v>0</v>
          </cell>
          <cell r="K29">
            <v>0</v>
          </cell>
          <cell r="L29">
            <v>0</v>
          </cell>
          <cell r="M29" t="e">
            <v>#REF!</v>
          </cell>
          <cell r="N29" t="e">
            <v>#REF!</v>
          </cell>
          <cell r="O29" t="str">
            <v>Corassano</v>
          </cell>
          <cell r="P29">
            <v>12.894715552972608</v>
          </cell>
          <cell r="Q29">
            <v>11.813736121705229</v>
          </cell>
          <cell r="R29" t="str">
            <v>Kabaretto</v>
          </cell>
          <cell r="S29">
            <v>19.5</v>
          </cell>
          <cell r="T29">
            <v>18.600000000000001</v>
          </cell>
          <cell r="U29" t="str">
            <v>Kabaretto</v>
          </cell>
          <cell r="V29">
            <v>70</v>
          </cell>
          <cell r="W29">
            <v>69.5</v>
          </cell>
          <cell r="X29" t="str">
            <v>Kabaretto</v>
          </cell>
          <cell r="Y29">
            <v>0</v>
          </cell>
          <cell r="Z29">
            <v>0.26881720430107531</v>
          </cell>
          <cell r="AA29" t="str">
            <v>Kabaretto</v>
          </cell>
          <cell r="AB29">
            <v>0</v>
          </cell>
          <cell r="AC29">
            <v>0</v>
          </cell>
        </row>
        <row r="30">
          <cell r="A30" t="str">
            <v>P0023</v>
          </cell>
          <cell r="B30">
            <v>13.034576426977267</v>
          </cell>
          <cell r="C30">
            <v>11.328543520637341</v>
          </cell>
          <cell r="D30" t="str">
            <v>Közép</v>
          </cell>
          <cell r="E30">
            <v>20.025000000000002</v>
          </cell>
          <cell r="F30">
            <v>17.475000000000001</v>
          </cell>
          <cell r="G30">
            <v>69.75</v>
          </cell>
          <cell r="H30">
            <v>69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 t="e">
            <v>#REF!</v>
          </cell>
          <cell r="N30" t="e">
            <v>#REF!</v>
          </cell>
          <cell r="O30" t="str">
            <v>P0023</v>
          </cell>
          <cell r="P30">
            <v>13.034576426977267</v>
          </cell>
          <cell r="Q30">
            <v>11.328543520637341</v>
          </cell>
          <cell r="R30" t="str">
            <v>KWS Inteligens</v>
          </cell>
          <cell r="S30">
            <v>20</v>
          </cell>
          <cell r="T30">
            <v>18.450000000000003</v>
          </cell>
          <cell r="U30" t="str">
            <v>KWS Inteligens</v>
          </cell>
          <cell r="V30">
            <v>69.75</v>
          </cell>
          <cell r="W30">
            <v>68</v>
          </cell>
          <cell r="X30" t="str">
            <v>KWS Inteligens</v>
          </cell>
          <cell r="Y30">
            <v>0</v>
          </cell>
          <cell r="Z30">
            <v>0.28409090909090912</v>
          </cell>
          <cell r="AA30" t="str">
            <v>KWS Inteligens</v>
          </cell>
          <cell r="AB30">
            <v>0</v>
          </cell>
          <cell r="AC30">
            <v>0</v>
          </cell>
        </row>
        <row r="31">
          <cell r="A31" t="str">
            <v>Fornad</v>
          </cell>
          <cell r="B31">
            <v>12.719269036116861</v>
          </cell>
          <cell r="C31">
            <v>11.538890054241884</v>
          </cell>
          <cell r="D31" t="str">
            <v>Közép</v>
          </cell>
          <cell r="E31">
            <v>20.575000000000003</v>
          </cell>
          <cell r="F31">
            <v>18.449999999999996</v>
          </cell>
          <cell r="G31">
            <v>69</v>
          </cell>
          <cell r="H31">
            <v>67.75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 t="e">
            <v>#REF!</v>
          </cell>
          <cell r="N31" t="e">
            <v>#REF!</v>
          </cell>
          <cell r="O31" t="str">
            <v>Fornad</v>
          </cell>
          <cell r="P31">
            <v>12.719269036116861</v>
          </cell>
          <cell r="Q31">
            <v>11.538890054241884</v>
          </cell>
          <cell r="R31" t="str">
            <v>Mendy</v>
          </cell>
          <cell r="S31">
            <v>18.725000000000001</v>
          </cell>
          <cell r="T31">
            <v>18.8</v>
          </cell>
          <cell r="U31" t="str">
            <v>Mendy</v>
          </cell>
          <cell r="V31">
            <v>70.75</v>
          </cell>
          <cell r="W31">
            <v>69.75</v>
          </cell>
          <cell r="X31" t="str">
            <v>Mendy</v>
          </cell>
          <cell r="Y31">
            <v>0.28409090909090912</v>
          </cell>
          <cell r="Z31">
            <v>0.26595744680851063</v>
          </cell>
          <cell r="AA31" t="str">
            <v>Mendy</v>
          </cell>
          <cell r="AB31">
            <v>0</v>
          </cell>
          <cell r="AC31">
            <v>0</v>
          </cell>
        </row>
        <row r="32">
          <cell r="A32" t="str">
            <v>Extasia</v>
          </cell>
          <cell r="B32">
            <v>12.314909304259039</v>
          </cell>
          <cell r="C32">
            <v>11.568784113060428</v>
          </cell>
          <cell r="D32" t="str">
            <v>Közép</v>
          </cell>
          <cell r="E32">
            <v>22.5</v>
          </cell>
          <cell r="F32">
            <v>20.125</v>
          </cell>
          <cell r="G32">
            <v>70</v>
          </cell>
          <cell r="H32">
            <v>71.5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 t="e">
            <v>#REF!</v>
          </cell>
          <cell r="N32" t="e">
            <v>#REF!</v>
          </cell>
          <cell r="O32" t="str">
            <v>Extasia</v>
          </cell>
          <cell r="P32">
            <v>12.314909304259039</v>
          </cell>
          <cell r="Q32">
            <v>11.568784113060428</v>
          </cell>
          <cell r="R32" t="str">
            <v>Mg440</v>
          </cell>
          <cell r="S32">
            <v>23.35</v>
          </cell>
          <cell r="T32">
            <v>21.15</v>
          </cell>
          <cell r="U32" t="str">
            <v>Mg440</v>
          </cell>
          <cell r="V32">
            <v>69.25</v>
          </cell>
          <cell r="W32">
            <v>68.25</v>
          </cell>
          <cell r="X32" t="str">
            <v>Mg440</v>
          </cell>
          <cell r="Y32">
            <v>0</v>
          </cell>
          <cell r="Z32">
            <v>0</v>
          </cell>
          <cell r="AA32" t="str">
            <v>Mg440</v>
          </cell>
          <cell r="AB32">
            <v>0</v>
          </cell>
          <cell r="AC32">
            <v>0</v>
          </cell>
        </row>
        <row r="33">
          <cell r="A33" t="str">
            <v>Mendy</v>
          </cell>
          <cell r="B33">
            <v>12.793362784981781</v>
          </cell>
          <cell r="C33">
            <v>10.818882744300362</v>
          </cell>
          <cell r="D33" t="str">
            <v>Közép</v>
          </cell>
          <cell r="E33">
            <v>18.725000000000001</v>
          </cell>
          <cell r="F33">
            <v>18.8</v>
          </cell>
          <cell r="G33">
            <v>70.75</v>
          </cell>
          <cell r="H33">
            <v>69.75</v>
          </cell>
          <cell r="I33">
            <v>0.28409090909090912</v>
          </cell>
          <cell r="J33">
            <v>0.26595744680851063</v>
          </cell>
          <cell r="K33">
            <v>0</v>
          </cell>
          <cell r="L33">
            <v>0</v>
          </cell>
          <cell r="M33" t="e">
            <v>#REF!</v>
          </cell>
          <cell r="N33" t="e">
            <v>#REF!</v>
          </cell>
          <cell r="O33" t="str">
            <v>Mendy</v>
          </cell>
          <cell r="P33">
            <v>12.793362784981781</v>
          </cell>
          <cell r="Q33">
            <v>10.818882744300362</v>
          </cell>
          <cell r="R33" t="str">
            <v>P0023</v>
          </cell>
          <cell r="S33">
            <v>20.025000000000002</v>
          </cell>
          <cell r="T33">
            <v>17.475000000000001</v>
          </cell>
          <cell r="U33" t="str">
            <v>P0023</v>
          </cell>
          <cell r="V33">
            <v>69.75</v>
          </cell>
          <cell r="W33">
            <v>69</v>
          </cell>
          <cell r="X33" t="str">
            <v>P0023</v>
          </cell>
          <cell r="Y33">
            <v>0</v>
          </cell>
          <cell r="Z33">
            <v>0</v>
          </cell>
          <cell r="AA33" t="str">
            <v>P0023</v>
          </cell>
          <cell r="AB33">
            <v>0</v>
          </cell>
          <cell r="AC33">
            <v>0</v>
          </cell>
        </row>
        <row r="34">
          <cell r="A34" t="str">
            <v>P9903</v>
          </cell>
          <cell r="B34">
            <v>11.945350090201348</v>
          </cell>
          <cell r="C34">
            <v>10.525887363335874</v>
          </cell>
          <cell r="D34" t="str">
            <v>Közép</v>
          </cell>
          <cell r="E34">
            <v>18.625</v>
          </cell>
          <cell r="F34">
            <v>16.574999999999999</v>
          </cell>
          <cell r="G34">
            <v>70</v>
          </cell>
          <cell r="H34">
            <v>69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 t="e">
            <v>#REF!</v>
          </cell>
          <cell r="N34" t="e">
            <v>#REF!</v>
          </cell>
          <cell r="O34" t="str">
            <v>P9903</v>
          </cell>
          <cell r="P34">
            <v>11.945350090201348</v>
          </cell>
          <cell r="Q34">
            <v>10.525887363335874</v>
          </cell>
          <cell r="R34" t="str">
            <v>P9903</v>
          </cell>
          <cell r="S34">
            <v>18.625</v>
          </cell>
          <cell r="T34">
            <v>16.574999999999999</v>
          </cell>
          <cell r="U34" t="str">
            <v>P9903</v>
          </cell>
          <cell r="V34">
            <v>70</v>
          </cell>
          <cell r="W34">
            <v>69</v>
          </cell>
          <cell r="X34" t="str">
            <v>P9903</v>
          </cell>
          <cell r="Y34">
            <v>0</v>
          </cell>
          <cell r="Z34">
            <v>0</v>
          </cell>
          <cell r="AA34" t="str">
            <v>P9903</v>
          </cell>
          <cell r="AB34">
            <v>0</v>
          </cell>
          <cell r="AC34">
            <v>0</v>
          </cell>
        </row>
        <row r="35">
          <cell r="A35" t="str">
            <v>Armagnac</v>
          </cell>
          <cell r="B35">
            <v>11.99746038808777</v>
          </cell>
          <cell r="C35">
            <v>11.151194804644462</v>
          </cell>
          <cell r="D35" t="str">
            <v>Közép</v>
          </cell>
          <cell r="E35">
            <v>23.750000000000004</v>
          </cell>
          <cell r="F35">
            <v>20.725000000000001</v>
          </cell>
          <cell r="G35">
            <v>70</v>
          </cell>
          <cell r="H35">
            <v>72.75</v>
          </cell>
          <cell r="I35">
            <v>0</v>
          </cell>
          <cell r="J35">
            <v>0.25252525252525254</v>
          </cell>
          <cell r="K35">
            <v>0</v>
          </cell>
          <cell r="L35">
            <v>0</v>
          </cell>
          <cell r="M35" t="e">
            <v>#REF!</v>
          </cell>
          <cell r="N35" t="e">
            <v>#REF!</v>
          </cell>
          <cell r="O35" t="str">
            <v>Armagnac</v>
          </cell>
          <cell r="P35">
            <v>11.99746038808777</v>
          </cell>
          <cell r="Q35">
            <v>11.151194804644462</v>
          </cell>
          <cell r="R35" t="str">
            <v>P9978</v>
          </cell>
          <cell r="S35">
            <v>17.925000000000001</v>
          </cell>
          <cell r="T35">
            <v>17.375</v>
          </cell>
          <cell r="U35" t="str">
            <v>P9978</v>
          </cell>
          <cell r="V35">
            <v>69.25</v>
          </cell>
          <cell r="W35">
            <v>68.25</v>
          </cell>
          <cell r="X35" t="str">
            <v>P9978</v>
          </cell>
          <cell r="Y35">
            <v>0.28409090909090912</v>
          </cell>
          <cell r="Z35">
            <v>0</v>
          </cell>
          <cell r="AA35" t="str">
            <v>P9978</v>
          </cell>
          <cell r="AB35">
            <v>0</v>
          </cell>
          <cell r="AC35">
            <v>0</v>
          </cell>
        </row>
        <row r="36">
          <cell r="A36" t="str">
            <v>Cadixxio Duo</v>
          </cell>
          <cell r="B36">
            <v>12.210451349791549</v>
          </cell>
          <cell r="C36">
            <v>10.452001440800066</v>
          </cell>
          <cell r="D36" t="str">
            <v>Közép</v>
          </cell>
          <cell r="E36">
            <v>21.65</v>
          </cell>
          <cell r="F36">
            <v>20.6</v>
          </cell>
          <cell r="G36">
            <v>70.75</v>
          </cell>
          <cell r="H36">
            <v>76</v>
          </cell>
          <cell r="I36">
            <v>0</v>
          </cell>
          <cell r="J36">
            <v>0.51825993555316863</v>
          </cell>
          <cell r="K36">
            <v>0</v>
          </cell>
          <cell r="L36">
            <v>0</v>
          </cell>
          <cell r="M36" t="e">
            <v>#REF!</v>
          </cell>
          <cell r="N36" t="e">
            <v>#REF!</v>
          </cell>
          <cell r="O36" t="str">
            <v>Cadixxio Duo</v>
          </cell>
          <cell r="P36">
            <v>12.210451349791549</v>
          </cell>
          <cell r="Q36">
            <v>10.452001440800066</v>
          </cell>
          <cell r="R36" t="str">
            <v>Extasia</v>
          </cell>
          <cell r="S36">
            <v>22.5</v>
          </cell>
          <cell r="T36">
            <v>20.125</v>
          </cell>
          <cell r="U36" t="str">
            <v>Extasia</v>
          </cell>
          <cell r="V36">
            <v>70</v>
          </cell>
          <cell r="W36">
            <v>71.5</v>
          </cell>
          <cell r="X36" t="str">
            <v>Extasia</v>
          </cell>
          <cell r="Y36">
            <v>0</v>
          </cell>
          <cell r="Z36">
            <v>0</v>
          </cell>
          <cell r="AA36" t="str">
            <v>Extasia</v>
          </cell>
          <cell r="AB36">
            <v>0</v>
          </cell>
          <cell r="AC36">
            <v>0</v>
          </cell>
        </row>
        <row r="37">
          <cell r="A37" t="str">
            <v>Átlag_közép</v>
          </cell>
          <cell r="B37">
            <v>13.057371478843042</v>
          </cell>
          <cell r="C37">
            <v>11.722240060068652</v>
          </cell>
          <cell r="D37" t="str">
            <v>Közép</v>
          </cell>
          <cell r="E37">
            <v>20.985937499999999</v>
          </cell>
          <cell r="F37">
            <v>18.957812499999999</v>
          </cell>
          <cell r="G37">
            <v>69.9375</v>
          </cell>
          <cell r="H37">
            <v>69.84375</v>
          </cell>
          <cell r="I37">
            <v>8.9623917748917759E-2</v>
          </cell>
          <cell r="J37">
            <v>0.13124424747294094</v>
          </cell>
          <cell r="K37">
            <v>0</v>
          </cell>
          <cell r="L37">
            <v>0</v>
          </cell>
          <cell r="O37" t="str">
            <v>Átlag_közép</v>
          </cell>
          <cell r="P37">
            <v>13.057371478843042</v>
          </cell>
          <cell r="Q37">
            <v>11.722240060068652</v>
          </cell>
          <cell r="R37" t="str">
            <v>Átlag_közép</v>
          </cell>
          <cell r="S37">
            <v>20.985937499999999</v>
          </cell>
          <cell r="T37">
            <v>18.957812499999999</v>
          </cell>
          <cell r="U37" t="str">
            <v>Átlag_közép</v>
          </cell>
          <cell r="V37">
            <v>69.9375</v>
          </cell>
          <cell r="W37">
            <v>69.84375</v>
          </cell>
          <cell r="X37" t="str">
            <v>Átlag_közép</v>
          </cell>
          <cell r="Y37">
            <v>8.9623917748917759E-2</v>
          </cell>
          <cell r="Z37">
            <v>0.13124424747294094</v>
          </cell>
          <cell r="AA37" t="str">
            <v>Átlag_közép</v>
          </cell>
          <cell r="AB37">
            <v>0</v>
          </cell>
          <cell r="AC37">
            <v>0</v>
          </cell>
        </row>
        <row r="38">
          <cell r="A38" t="str">
            <v>Max_közép</v>
          </cell>
          <cell r="B38">
            <v>14.118797042929382</v>
          </cell>
          <cell r="C38">
            <v>13.43788499025341</v>
          </cell>
          <cell r="D38" t="str">
            <v>Közép</v>
          </cell>
          <cell r="E38">
            <v>24.375</v>
          </cell>
          <cell r="F38">
            <v>21.75</v>
          </cell>
          <cell r="G38">
            <v>71.25</v>
          </cell>
          <cell r="H38">
            <v>76</v>
          </cell>
          <cell r="I38">
            <v>0.29761904761904762</v>
          </cell>
          <cell r="J38">
            <v>0.51825993555316863</v>
          </cell>
          <cell r="K38">
            <v>0</v>
          </cell>
          <cell r="L38">
            <v>0</v>
          </cell>
          <cell r="O38" t="str">
            <v>Max_közép</v>
          </cell>
          <cell r="P38">
            <v>14.118797042929382</v>
          </cell>
          <cell r="Q38">
            <v>13.43788499025341</v>
          </cell>
          <cell r="R38" t="str">
            <v>Max_közép</v>
          </cell>
          <cell r="S38">
            <v>24.375</v>
          </cell>
          <cell r="T38">
            <v>21.75</v>
          </cell>
          <cell r="U38" t="str">
            <v>Max_közép</v>
          </cell>
          <cell r="V38">
            <v>71.25</v>
          </cell>
          <cell r="W38">
            <v>76</v>
          </cell>
          <cell r="X38" t="str">
            <v>Max_közép</v>
          </cell>
          <cell r="Y38">
            <v>0.29761904761904762</v>
          </cell>
          <cell r="Z38">
            <v>0.51825993555316863</v>
          </cell>
          <cell r="AA38" t="str">
            <v>Max_közép</v>
          </cell>
          <cell r="AB38">
            <v>0</v>
          </cell>
          <cell r="AC38">
            <v>0</v>
          </cell>
        </row>
        <row r="39">
          <cell r="A39" t="str">
            <v>Min_középi</v>
          </cell>
          <cell r="B39">
            <v>11.656847634383869</v>
          </cell>
          <cell r="C39">
            <v>9.9269611831511142</v>
          </cell>
          <cell r="D39" t="str">
            <v>Közép</v>
          </cell>
          <cell r="E39">
            <v>17.925000000000001</v>
          </cell>
          <cell r="F39">
            <v>16.574999999999999</v>
          </cell>
          <cell r="G39">
            <v>68.25</v>
          </cell>
          <cell r="H39">
            <v>67.5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O39" t="str">
            <v>Min_középi</v>
          </cell>
          <cell r="P39">
            <v>11.656847634383869</v>
          </cell>
          <cell r="Q39">
            <v>9.9269611831511142</v>
          </cell>
          <cell r="R39" t="str">
            <v>Min_középi</v>
          </cell>
          <cell r="S39">
            <v>17.925000000000001</v>
          </cell>
          <cell r="T39">
            <v>16.574999999999999</v>
          </cell>
          <cell r="U39" t="str">
            <v>Min_középi</v>
          </cell>
          <cell r="V39">
            <v>68.25</v>
          </cell>
          <cell r="W39">
            <v>67.5</v>
          </cell>
          <cell r="X39" t="str">
            <v>Min_középi</v>
          </cell>
          <cell r="Y39">
            <v>0</v>
          </cell>
          <cell r="Z39">
            <v>0</v>
          </cell>
          <cell r="AA39" t="str">
            <v>Min_középi</v>
          </cell>
          <cell r="AB39">
            <v>0</v>
          </cell>
          <cell r="AC39">
            <v>0</v>
          </cell>
        </row>
        <row r="40">
          <cell r="A40" t="str">
            <v>DKC5685</v>
          </cell>
          <cell r="B40">
            <v>13.683910924654631</v>
          </cell>
          <cell r="C40">
            <v>12.522456564115602</v>
          </cell>
          <cell r="D40" t="str">
            <v>Késői</v>
          </cell>
          <cell r="E40">
            <v>26.5</v>
          </cell>
          <cell r="F40">
            <v>24</v>
          </cell>
          <cell r="G40">
            <v>73.75</v>
          </cell>
          <cell r="H40">
            <v>74.75</v>
          </cell>
          <cell r="I40">
            <v>0</v>
          </cell>
          <cell r="J40">
            <v>0.59523809523809523</v>
          </cell>
          <cell r="K40">
            <v>0</v>
          </cell>
          <cell r="L40">
            <v>0.59523809523809523</v>
          </cell>
          <cell r="M40" t="e">
            <v>#REF!</v>
          </cell>
          <cell r="N40" t="e">
            <v>#REF!</v>
          </cell>
          <cell r="O40" t="str">
            <v>DKC5685</v>
          </cell>
          <cell r="P40">
            <v>13.683910924654631</v>
          </cell>
          <cell r="Q40">
            <v>12.522456564115602</v>
          </cell>
          <cell r="R40" t="str">
            <v>DKC5542</v>
          </cell>
          <cell r="S40">
            <v>24.599999999999998</v>
          </cell>
          <cell r="T40">
            <v>22.650000000000002</v>
          </cell>
          <cell r="U40" t="str">
            <v>DKC5542</v>
          </cell>
          <cell r="V40">
            <v>77.5</v>
          </cell>
          <cell r="W40">
            <v>77.75</v>
          </cell>
          <cell r="X40" t="str">
            <v>DKC5542</v>
          </cell>
          <cell r="Y40">
            <v>0</v>
          </cell>
          <cell r="Z40">
            <v>0.32051282051282048</v>
          </cell>
          <cell r="AA40" t="str">
            <v>DKC5542</v>
          </cell>
          <cell r="AB40">
            <v>0</v>
          </cell>
          <cell r="AC40">
            <v>0</v>
          </cell>
        </row>
        <row r="41">
          <cell r="A41" t="str">
            <v>P0725</v>
          </cell>
          <cell r="B41">
            <v>13.952731587422663</v>
          </cell>
          <cell r="C41">
            <v>11.936350961945926</v>
          </cell>
          <cell r="D41" t="str">
            <v>Késői</v>
          </cell>
          <cell r="E41">
            <v>24.15</v>
          </cell>
          <cell r="F41">
            <v>22.749999999999996</v>
          </cell>
          <cell r="G41">
            <v>77.5</v>
          </cell>
          <cell r="H41">
            <v>77.5</v>
          </cell>
          <cell r="I41">
            <v>0.3048780487804878</v>
          </cell>
          <cell r="J41">
            <v>0</v>
          </cell>
          <cell r="K41">
            <v>0</v>
          </cell>
          <cell r="L41">
            <v>0</v>
          </cell>
          <cell r="M41" t="e">
            <v>#REF!</v>
          </cell>
          <cell r="N41" t="e">
            <v>#REF!</v>
          </cell>
          <cell r="O41" t="str">
            <v>P0725</v>
          </cell>
          <cell r="P41">
            <v>13.952731587422663</v>
          </cell>
          <cell r="Q41">
            <v>11.936350961945926</v>
          </cell>
          <cell r="R41" t="str">
            <v>DKC5685</v>
          </cell>
          <cell r="S41">
            <v>26.5</v>
          </cell>
          <cell r="T41">
            <v>24</v>
          </cell>
          <cell r="U41" t="str">
            <v>DKC5685</v>
          </cell>
          <cell r="V41">
            <v>73.75</v>
          </cell>
          <cell r="W41">
            <v>74.75</v>
          </cell>
          <cell r="X41" t="str">
            <v>DKC5685</v>
          </cell>
          <cell r="Y41">
            <v>0</v>
          </cell>
          <cell r="Z41">
            <v>0.59523809523809523</v>
          </cell>
          <cell r="AA41" t="str">
            <v>DKC5685</v>
          </cell>
          <cell r="AB41">
            <v>0</v>
          </cell>
          <cell r="AC41">
            <v>0.59523809523809523</v>
          </cell>
        </row>
        <row r="42">
          <cell r="A42" t="str">
            <v>P0217</v>
          </cell>
          <cell r="B42">
            <v>13.107121366217477</v>
          </cell>
          <cell r="C42">
            <v>11.174759725400458</v>
          </cell>
          <cell r="D42" t="str">
            <v>Késői</v>
          </cell>
          <cell r="E42">
            <v>20.299999999999997</v>
          </cell>
          <cell r="F42">
            <v>18.350000000000001</v>
          </cell>
          <cell r="G42">
            <v>71</v>
          </cell>
          <cell r="H42">
            <v>69</v>
          </cell>
          <cell r="I42">
            <v>0</v>
          </cell>
          <cell r="J42">
            <v>0.36231884057971014</v>
          </cell>
          <cell r="K42">
            <v>0</v>
          </cell>
          <cell r="L42">
            <v>0</v>
          </cell>
          <cell r="M42" t="e">
            <v>#REF!</v>
          </cell>
          <cell r="N42" t="e">
            <v>#REF!</v>
          </cell>
          <cell r="O42" t="str">
            <v>P0217</v>
          </cell>
          <cell r="P42">
            <v>13.107121366217477</v>
          </cell>
          <cell r="Q42">
            <v>11.174759725400458</v>
          </cell>
          <cell r="R42" t="str">
            <v>Device</v>
          </cell>
          <cell r="S42">
            <v>24.875</v>
          </cell>
          <cell r="T42">
            <v>20.875</v>
          </cell>
          <cell r="U42" t="str">
            <v>Device</v>
          </cell>
          <cell r="V42">
            <v>70.5</v>
          </cell>
          <cell r="W42">
            <v>69.5</v>
          </cell>
          <cell r="X42" t="str">
            <v>Device</v>
          </cell>
          <cell r="Y42">
            <v>0.58139534883720934</v>
          </cell>
          <cell r="Z42">
            <v>0</v>
          </cell>
          <cell r="AA42" t="str">
            <v>Device</v>
          </cell>
          <cell r="AB42">
            <v>0</v>
          </cell>
          <cell r="AC42">
            <v>0</v>
          </cell>
        </row>
        <row r="43">
          <cell r="A43" t="str">
            <v>P9911</v>
          </cell>
          <cell r="B43">
            <v>12.591503093482498</v>
          </cell>
          <cell r="C43">
            <v>11.623150266971777</v>
          </cell>
          <cell r="D43" t="str">
            <v>Késői</v>
          </cell>
          <cell r="E43">
            <v>19.075000000000003</v>
          </cell>
          <cell r="F43">
            <v>18.674999999999997</v>
          </cell>
          <cell r="G43">
            <v>71</v>
          </cell>
          <cell r="H43">
            <v>68.5</v>
          </cell>
          <cell r="I43">
            <v>0</v>
          </cell>
          <cell r="J43">
            <v>0.64102564102564097</v>
          </cell>
          <cell r="K43">
            <v>0</v>
          </cell>
          <cell r="L43">
            <v>0</v>
          </cell>
          <cell r="M43" t="e">
            <v>#REF!</v>
          </cell>
          <cell r="N43" t="e">
            <v>#REF!</v>
          </cell>
          <cell r="O43" t="str">
            <v>P9911</v>
          </cell>
          <cell r="P43">
            <v>12.591503093482498</v>
          </cell>
          <cell r="Q43">
            <v>11.623150266971777</v>
          </cell>
          <cell r="R43" t="str">
            <v>P0217</v>
          </cell>
          <cell r="S43">
            <v>20.299999999999997</v>
          </cell>
          <cell r="T43">
            <v>18.350000000000001</v>
          </cell>
          <cell r="U43" t="str">
            <v>P0217</v>
          </cell>
          <cell r="V43">
            <v>71</v>
          </cell>
          <cell r="W43">
            <v>69</v>
          </cell>
          <cell r="X43" t="str">
            <v>P0217</v>
          </cell>
          <cell r="Y43">
            <v>0</v>
          </cell>
          <cell r="Z43">
            <v>0.36231884057971014</v>
          </cell>
          <cell r="AA43" t="str">
            <v>P0217</v>
          </cell>
          <cell r="AB43">
            <v>0</v>
          </cell>
          <cell r="AC43">
            <v>0</v>
          </cell>
        </row>
        <row r="44">
          <cell r="A44" t="str">
            <v>Kalabre</v>
          </cell>
          <cell r="B44">
            <v>13.049938257479445</v>
          </cell>
          <cell r="C44">
            <v>11.337510339859309</v>
          </cell>
          <cell r="D44" t="str">
            <v>Késői</v>
          </cell>
          <cell r="E44">
            <v>24.2</v>
          </cell>
          <cell r="F44">
            <v>21.075000000000003</v>
          </cell>
          <cell r="G44">
            <v>74</v>
          </cell>
          <cell r="H44">
            <v>74</v>
          </cell>
          <cell r="I44">
            <v>0</v>
          </cell>
          <cell r="J44">
            <v>0.3289473684210526</v>
          </cell>
          <cell r="K44">
            <v>0</v>
          </cell>
          <cell r="L44">
            <v>0</v>
          </cell>
          <cell r="M44" t="e">
            <v>#REF!</v>
          </cell>
          <cell r="N44" t="e">
            <v>#REF!</v>
          </cell>
          <cell r="O44" t="str">
            <v>Kalabre</v>
          </cell>
          <cell r="P44">
            <v>13.049938257479445</v>
          </cell>
          <cell r="Q44">
            <v>11.337510339859309</v>
          </cell>
          <cell r="R44" t="str">
            <v>Kalabre</v>
          </cell>
          <cell r="S44">
            <v>24.2</v>
          </cell>
          <cell r="T44">
            <v>21.075000000000003</v>
          </cell>
          <cell r="U44" t="str">
            <v>Kalabre</v>
          </cell>
          <cell r="V44">
            <v>74</v>
          </cell>
          <cell r="W44">
            <v>74</v>
          </cell>
          <cell r="X44" t="str">
            <v>Kalabre</v>
          </cell>
          <cell r="Y44">
            <v>0</v>
          </cell>
          <cell r="Z44">
            <v>0.3289473684210526</v>
          </cell>
          <cell r="AA44" t="str">
            <v>Kalabre</v>
          </cell>
          <cell r="AB44">
            <v>0</v>
          </cell>
          <cell r="AC44">
            <v>0</v>
          </cell>
        </row>
        <row r="45">
          <cell r="A45" t="str">
            <v>Device</v>
          </cell>
          <cell r="B45">
            <v>11.912537079413511</v>
          </cell>
          <cell r="C45">
            <v>11.562231121281464</v>
          </cell>
          <cell r="D45" t="str">
            <v>Késői</v>
          </cell>
          <cell r="E45">
            <v>24.875</v>
          </cell>
          <cell r="F45">
            <v>20.875</v>
          </cell>
          <cell r="G45">
            <v>70.5</v>
          </cell>
          <cell r="H45">
            <v>69.5</v>
          </cell>
          <cell r="I45">
            <v>0.58139534883720934</v>
          </cell>
          <cell r="J45">
            <v>0</v>
          </cell>
          <cell r="K45">
            <v>0</v>
          </cell>
          <cell r="L45">
            <v>0</v>
          </cell>
          <cell r="M45" t="e">
            <v>#REF!</v>
          </cell>
          <cell r="N45" t="e">
            <v>#REF!</v>
          </cell>
          <cell r="O45" t="str">
            <v>Device</v>
          </cell>
          <cell r="P45">
            <v>11.912537079413511</v>
          </cell>
          <cell r="Q45">
            <v>11.562231121281464</v>
          </cell>
          <cell r="R45" t="str">
            <v>P0725</v>
          </cell>
          <cell r="S45">
            <v>24.15</v>
          </cell>
          <cell r="T45">
            <v>22.749999999999996</v>
          </cell>
          <cell r="U45" t="str">
            <v>P0725</v>
          </cell>
          <cell r="V45">
            <v>77.5</v>
          </cell>
          <cell r="W45">
            <v>77.5</v>
          </cell>
          <cell r="X45" t="str">
            <v>P0725</v>
          </cell>
          <cell r="Y45">
            <v>0.3048780487804878</v>
          </cell>
          <cell r="Z45">
            <v>0</v>
          </cell>
          <cell r="AA45" t="str">
            <v>P0725</v>
          </cell>
          <cell r="AB45">
            <v>0</v>
          </cell>
          <cell r="AC45">
            <v>0</v>
          </cell>
        </row>
        <row r="46">
          <cell r="A46" t="str">
            <v>DKC5542</v>
          </cell>
          <cell r="B46">
            <v>12.275590728027799</v>
          </cell>
          <cell r="C46">
            <v>8.298757521823882</v>
          </cell>
          <cell r="D46" t="str">
            <v>Késői</v>
          </cell>
          <cell r="E46">
            <v>24.599999999999998</v>
          </cell>
          <cell r="F46">
            <v>22.650000000000002</v>
          </cell>
          <cell r="G46">
            <v>77.5</v>
          </cell>
          <cell r="H46">
            <v>77.75</v>
          </cell>
          <cell r="I46">
            <v>0</v>
          </cell>
          <cell r="J46">
            <v>0.32051282051282048</v>
          </cell>
          <cell r="K46">
            <v>0</v>
          </cell>
          <cell r="L46">
            <v>0</v>
          </cell>
          <cell r="M46" t="e">
            <v>#REF!</v>
          </cell>
          <cell r="N46" t="e">
            <v>#REF!</v>
          </cell>
          <cell r="O46" t="str">
            <v>DKC5542</v>
          </cell>
          <cell r="P46">
            <v>12.275590728027799</v>
          </cell>
          <cell r="Q46">
            <v>8.298757521823882</v>
          </cell>
          <cell r="R46" t="str">
            <v>P9911</v>
          </cell>
          <cell r="S46">
            <v>19.075000000000003</v>
          </cell>
          <cell r="T46">
            <v>18.674999999999997</v>
          </cell>
          <cell r="U46" t="str">
            <v>P9911</v>
          </cell>
          <cell r="V46">
            <v>71</v>
          </cell>
          <cell r="W46">
            <v>68.5</v>
          </cell>
          <cell r="X46" t="str">
            <v>P9911</v>
          </cell>
          <cell r="Y46">
            <v>0</v>
          </cell>
          <cell r="Z46">
            <v>0.64102564102564097</v>
          </cell>
          <cell r="AA46" t="str">
            <v>P9911</v>
          </cell>
          <cell r="AB46">
            <v>0</v>
          </cell>
          <cell r="AC46">
            <v>0</v>
          </cell>
        </row>
        <row r="47">
          <cell r="A47" t="str">
            <v>Átlag_késői</v>
          </cell>
          <cell r="B47">
            <v>12.939047576671145</v>
          </cell>
          <cell r="C47">
            <v>11.207888071628343</v>
          </cell>
          <cell r="D47" t="str">
            <v>Késői</v>
          </cell>
          <cell r="E47">
            <v>23.385714285714283</v>
          </cell>
          <cell r="F47">
            <v>21.196428571428573</v>
          </cell>
          <cell r="G47">
            <v>73.607142857142861</v>
          </cell>
          <cell r="H47">
            <v>73</v>
          </cell>
          <cell r="I47">
            <v>0.12661048537395672</v>
          </cell>
          <cell r="J47">
            <v>0.32114896653961711</v>
          </cell>
          <cell r="K47">
            <v>0</v>
          </cell>
          <cell r="L47">
            <v>8.5034013605442174E-2</v>
          </cell>
          <cell r="O47" t="str">
            <v>Átlag_késői</v>
          </cell>
          <cell r="P47">
            <v>12.939047576671145</v>
          </cell>
          <cell r="Q47">
            <v>11.207888071628343</v>
          </cell>
          <cell r="R47" t="str">
            <v>Átlag_késői</v>
          </cell>
          <cell r="S47">
            <v>23.385714285714283</v>
          </cell>
          <cell r="T47">
            <v>21.196428571428573</v>
          </cell>
          <cell r="U47" t="str">
            <v>Átlag_késői</v>
          </cell>
          <cell r="V47">
            <v>73.607142857142861</v>
          </cell>
          <cell r="W47">
            <v>73</v>
          </cell>
          <cell r="X47" t="str">
            <v>Átlag_késői</v>
          </cell>
          <cell r="Y47">
            <v>0.12661048537395672</v>
          </cell>
          <cell r="Z47">
            <v>0.32114896653961711</v>
          </cell>
          <cell r="AA47" t="str">
            <v>Átlag_késői</v>
          </cell>
          <cell r="AB47">
            <v>0</v>
          </cell>
          <cell r="AC47">
            <v>8.5034013605442174E-2</v>
          </cell>
        </row>
        <row r="48">
          <cell r="A48" t="str">
            <v>Max_késői</v>
          </cell>
          <cell r="B48">
            <v>14.23271760318671</v>
          </cell>
          <cell r="C48">
            <v>12.749906771760319</v>
          </cell>
          <cell r="D48" t="str">
            <v>Késői</v>
          </cell>
          <cell r="E48">
            <v>26.5</v>
          </cell>
          <cell r="F48">
            <v>24</v>
          </cell>
          <cell r="G48">
            <v>77.5</v>
          </cell>
          <cell r="H48">
            <v>77.75</v>
          </cell>
          <cell r="I48">
            <v>0.58139534883720934</v>
          </cell>
          <cell r="J48">
            <v>0.64102564102564097</v>
          </cell>
          <cell r="K48">
            <v>0</v>
          </cell>
          <cell r="L48">
            <v>0.59523809523809523</v>
          </cell>
          <cell r="O48" t="str">
            <v>Max_késői</v>
          </cell>
          <cell r="P48">
            <v>14.23271760318671</v>
          </cell>
          <cell r="Q48">
            <v>12.749906771760319</v>
          </cell>
          <cell r="R48" t="str">
            <v>Max_késői</v>
          </cell>
          <cell r="S48">
            <v>26.5</v>
          </cell>
          <cell r="T48">
            <v>24</v>
          </cell>
          <cell r="U48" t="str">
            <v>Max_késői</v>
          </cell>
          <cell r="V48">
            <v>77.5</v>
          </cell>
          <cell r="W48">
            <v>77.75</v>
          </cell>
          <cell r="X48" t="str">
            <v>Max_késői</v>
          </cell>
          <cell r="Y48">
            <v>0.58139534883720934</v>
          </cell>
          <cell r="Z48">
            <v>0.64102564102564097</v>
          </cell>
          <cell r="AA48" t="str">
            <v>Max_késői</v>
          </cell>
          <cell r="AB48">
            <v>0</v>
          </cell>
          <cell r="AC48">
            <v>0.59523809523809523</v>
          </cell>
        </row>
        <row r="49">
          <cell r="A49" t="str">
            <v>Min_késői</v>
          </cell>
          <cell r="B49">
            <v>11.961452665480126</v>
          </cell>
          <cell r="C49">
            <v>8.4034702093397726</v>
          </cell>
          <cell r="D49" t="str">
            <v>Késői</v>
          </cell>
          <cell r="E49">
            <v>19.075000000000003</v>
          </cell>
          <cell r="F49">
            <v>18.350000000000001</v>
          </cell>
          <cell r="G49">
            <v>70.5</v>
          </cell>
          <cell r="H49">
            <v>68.5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O49" t="str">
            <v>Min_késői</v>
          </cell>
          <cell r="P49">
            <v>11.961452665480126</v>
          </cell>
          <cell r="Q49">
            <v>8.4034702093397726</v>
          </cell>
          <cell r="R49" t="str">
            <v>Min_késői</v>
          </cell>
          <cell r="S49">
            <v>19.075000000000003</v>
          </cell>
          <cell r="T49">
            <v>18.350000000000001</v>
          </cell>
          <cell r="U49" t="str">
            <v>Min_késői</v>
          </cell>
          <cell r="V49">
            <v>70.5</v>
          </cell>
          <cell r="W49">
            <v>68.5</v>
          </cell>
          <cell r="X49" t="str">
            <v>Min_késői</v>
          </cell>
          <cell r="Y49">
            <v>0</v>
          </cell>
          <cell r="Z49">
            <v>0</v>
          </cell>
          <cell r="AA49" t="str">
            <v>Min_késői</v>
          </cell>
          <cell r="AB49">
            <v>0</v>
          </cell>
          <cell r="AC49">
            <v>0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300komplexd"/>
      <sheetName val="XY_Vir_Korai"/>
      <sheetName val="ÖsszesÍtéses táblázat FAO300"/>
      <sheetName val="400komplexd"/>
      <sheetName val="XY_Vir_Közép"/>
      <sheetName val="ÖsszesÍtett táblázat FAO400"/>
      <sheetName val="Korai Trend"/>
      <sheetName val="Korai helyátlag"/>
      <sheetName val="Összes termés FAO300  "/>
      <sheetName val="Bóly-_koraitrendd"/>
      <sheetName val="Munka4"/>
      <sheetName val="Munka2"/>
      <sheetName val="Középtrend"/>
      <sheetName val="Összes termés FAO400 "/>
      <sheetName val="Középátlagdia"/>
      <sheetName val="Munka3"/>
      <sheetName val="szemnedvesség FAO300"/>
      <sheetName val="szemnedvesség FAO400"/>
      <sheetName val="Bcsaba_törés"/>
      <sheetName val="cső alatt letört tő FAO300 "/>
      <sheetName val="cső alatt letört tő FAO400  "/>
      <sheetName val="megdőlt tő FAO300 "/>
      <sheetName val="megdőlt tő FAO400 "/>
      <sheetName val="50% virágzás FAO300 "/>
      <sheetName val="50% virágzás FAO400 "/>
      <sheetName val="Munka1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/>
      <sheetData sheetId="13" refreshError="1"/>
      <sheetData sheetId="14"/>
      <sheetData sheetId="15" refreshError="1"/>
      <sheetData sheetId="16"/>
      <sheetData sheetId="17">
        <row r="5">
          <cell r="B5" t="str">
            <v>P92841</v>
          </cell>
          <cell r="C5">
            <v>14.2</v>
          </cell>
          <cell r="M5">
            <v>16</v>
          </cell>
        </row>
        <row r="6">
          <cell r="B6" t="str">
            <v>KWS OLTENIO</v>
          </cell>
          <cell r="C6">
            <v>14.45</v>
          </cell>
          <cell r="M6">
            <v>15.05</v>
          </cell>
        </row>
        <row r="7">
          <cell r="B7" t="str">
            <v>DKC4533</v>
          </cell>
          <cell r="C7">
            <v>13.675000000000001</v>
          </cell>
          <cell r="M7">
            <v>14.9</v>
          </cell>
        </row>
        <row r="8">
          <cell r="B8" t="str">
            <v>FOXTRAIL</v>
          </cell>
          <cell r="C8">
            <v>15.025</v>
          </cell>
          <cell r="M8">
            <v>15.5</v>
          </cell>
        </row>
        <row r="9">
          <cell r="B9" t="str">
            <v>SY Stacio</v>
          </cell>
          <cell r="C9">
            <v>13.8</v>
          </cell>
          <cell r="M9">
            <v>15.024999999999999</v>
          </cell>
        </row>
        <row r="10">
          <cell r="B10" t="str">
            <v>DUELING</v>
          </cell>
          <cell r="C10">
            <v>13.75</v>
          </cell>
          <cell r="M10">
            <v>15.049999999999999</v>
          </cell>
        </row>
        <row r="11">
          <cell r="B11" t="str">
            <v>P9944</v>
          </cell>
          <cell r="C11">
            <v>14.149999999999999</v>
          </cell>
          <cell r="M11">
            <v>15.25</v>
          </cell>
        </row>
        <row r="12">
          <cell r="B12" t="str">
            <v>DKC4897</v>
          </cell>
          <cell r="C12">
            <v>18.200000000000003</v>
          </cell>
          <cell r="M12">
            <v>16.675000000000001</v>
          </cell>
        </row>
        <row r="13">
          <cell r="B13" t="str">
            <v>KWS HYPOLITO</v>
          </cell>
          <cell r="C13">
            <v>15.025</v>
          </cell>
          <cell r="M13">
            <v>14.85</v>
          </cell>
        </row>
        <row r="14">
          <cell r="B14" t="str">
            <v>KWS LEMONDO</v>
          </cell>
          <cell r="C14">
            <v>14.625</v>
          </cell>
          <cell r="M14">
            <v>15.1</v>
          </cell>
        </row>
        <row r="15">
          <cell r="B15" t="str">
            <v>LID4320C</v>
          </cell>
          <cell r="C15">
            <v>13.725</v>
          </cell>
          <cell r="M15">
            <v>16.774999999999999</v>
          </cell>
        </row>
        <row r="16">
          <cell r="B16" t="str">
            <v>SY Solandri</v>
          </cell>
          <cell r="C16">
            <v>14.25</v>
          </cell>
          <cell r="M16">
            <v>15.600000000000001</v>
          </cell>
        </row>
        <row r="17">
          <cell r="B17" t="str">
            <v>DKC5092</v>
          </cell>
          <cell r="C17">
            <v>14.575000000000001</v>
          </cell>
          <cell r="M17">
            <v>17.425000000000001</v>
          </cell>
        </row>
        <row r="18">
          <cell r="B18" t="str">
            <v>Átlag_Korai</v>
          </cell>
          <cell r="C18">
            <v>14.573076923076922</v>
          </cell>
          <cell r="M18">
            <v>15.63076923076923</v>
          </cell>
        </row>
        <row r="19">
          <cell r="B19" t="str">
            <v>Maximum_korai</v>
          </cell>
          <cell r="C19">
            <v>18.200000000000003</v>
          </cell>
          <cell r="M19">
            <v>17.425000000000001</v>
          </cell>
        </row>
        <row r="20">
          <cell r="B20" t="str">
            <v>Minimum_korai</v>
          </cell>
          <cell r="C20">
            <v>13.675000000000001</v>
          </cell>
          <cell r="M20">
            <v>14.85</v>
          </cell>
        </row>
      </sheetData>
      <sheetData sheetId="18">
        <row r="5">
          <cell r="B5" t="str">
            <v>P9944_</v>
          </cell>
          <cell r="C5">
            <v>14.375</v>
          </cell>
          <cell r="M5">
            <v>15.574999999999999</v>
          </cell>
        </row>
        <row r="6">
          <cell r="B6" t="str">
            <v>DKC5092_</v>
          </cell>
          <cell r="C6">
            <v>14.625</v>
          </cell>
          <cell r="M6">
            <v>19.100000000000001</v>
          </cell>
        </row>
        <row r="7">
          <cell r="B7" t="str">
            <v>INDEM1012</v>
          </cell>
          <cell r="C7">
            <v>14.9</v>
          </cell>
          <cell r="M7">
            <v>18.350000000000001</v>
          </cell>
        </row>
        <row r="8">
          <cell r="B8" t="str">
            <v>P9975</v>
          </cell>
          <cell r="C8">
            <v>14.25</v>
          </cell>
          <cell r="M8">
            <v>16.125</v>
          </cell>
        </row>
        <row r="9">
          <cell r="B9" t="str">
            <v>DKC4933</v>
          </cell>
          <cell r="C9">
            <v>16.974999999999998</v>
          </cell>
          <cell r="M9">
            <v>18.774999999999999</v>
          </cell>
        </row>
        <row r="10">
          <cell r="B10" t="str">
            <v>KABARETTO</v>
          </cell>
          <cell r="C10">
            <v>16.875</v>
          </cell>
          <cell r="M10">
            <v>17.649999999999999</v>
          </cell>
        </row>
        <row r="11">
          <cell r="B11" t="str">
            <v>Sy Evident</v>
          </cell>
          <cell r="C11">
            <v>15.625000000000002</v>
          </cell>
          <cell r="M11">
            <v>16.524999999999999</v>
          </cell>
        </row>
        <row r="12">
          <cell r="B12" t="str">
            <v>P0260</v>
          </cell>
          <cell r="C12">
            <v>15.875</v>
          </cell>
          <cell r="M12">
            <v>18.55</v>
          </cell>
        </row>
        <row r="13">
          <cell r="B13" t="str">
            <v>P03376</v>
          </cell>
          <cell r="C13">
            <v>15.875</v>
          </cell>
          <cell r="M13">
            <v>19.25</v>
          </cell>
        </row>
        <row r="14">
          <cell r="B14" t="str">
            <v>Fidencio</v>
          </cell>
          <cell r="C14">
            <v>17.625</v>
          </cell>
          <cell r="M14">
            <v>18.675000000000001</v>
          </cell>
        </row>
        <row r="15">
          <cell r="B15" t="str">
            <v>P0450</v>
          </cell>
          <cell r="C15">
            <v>16.450000000000003</v>
          </cell>
          <cell r="M15">
            <v>16.675000000000001</v>
          </cell>
        </row>
        <row r="16">
          <cell r="B16" t="str">
            <v>RGT Mexxini</v>
          </cell>
          <cell r="C16">
            <v>16.600000000000001</v>
          </cell>
          <cell r="M16">
            <v>20.25</v>
          </cell>
        </row>
        <row r="17">
          <cell r="B17" t="str">
            <v>KWS GENTO</v>
          </cell>
          <cell r="C17">
            <v>15.25</v>
          </cell>
          <cell r="M17">
            <v>15.425000000000001</v>
          </cell>
        </row>
        <row r="18">
          <cell r="B18" t="str">
            <v>P0710</v>
          </cell>
          <cell r="C18">
            <v>18.349999999999998</v>
          </cell>
          <cell r="M18">
            <v>20.274999999999999</v>
          </cell>
        </row>
        <row r="19">
          <cell r="B19" t="str">
            <v>P0725</v>
          </cell>
          <cell r="C19">
            <v>16.75</v>
          </cell>
          <cell r="M19">
            <v>23.4</v>
          </cell>
        </row>
        <row r="20">
          <cell r="B20" t="str">
            <v>Átlag_közép</v>
          </cell>
          <cell r="C20">
            <v>16.026666666666664</v>
          </cell>
          <cell r="M20">
            <v>18.306666666666672</v>
          </cell>
        </row>
        <row r="21">
          <cell r="B21" t="str">
            <v>Maximum_közép</v>
          </cell>
          <cell r="C21">
            <v>18.349999999999998</v>
          </cell>
          <cell r="M21">
            <v>23.4</v>
          </cell>
        </row>
        <row r="22">
          <cell r="B22" t="str">
            <v>Minimum_közép</v>
          </cell>
          <cell r="C22">
            <v>14.25</v>
          </cell>
          <cell r="M22">
            <v>15.425000000000001</v>
          </cell>
        </row>
      </sheetData>
      <sheetData sheetId="19" refreshError="1"/>
      <sheetData sheetId="20">
        <row r="5">
          <cell r="B5" t="str">
            <v>P92841</v>
          </cell>
          <cell r="C5">
            <v>3.188172043010753</v>
          </cell>
          <cell r="M5">
            <v>0.50505050505050508</v>
          </cell>
        </row>
        <row r="6">
          <cell r="B6" t="str">
            <v>KWS OLTENIO</v>
          </cell>
          <cell r="C6">
            <v>18.211580086580089</v>
          </cell>
          <cell r="M6">
            <v>0</v>
          </cell>
        </row>
        <row r="7">
          <cell r="B7" t="str">
            <v>DKC4533</v>
          </cell>
          <cell r="C7">
            <v>20.441154048564076</v>
          </cell>
          <cell r="M7">
            <v>1.2626262626262625</v>
          </cell>
        </row>
        <row r="8">
          <cell r="B8" t="str">
            <v>FOXTRAIL</v>
          </cell>
          <cell r="C8">
            <v>7.2676651305683553</v>
          </cell>
          <cell r="M8">
            <v>0</v>
          </cell>
        </row>
        <row r="9">
          <cell r="B9" t="str">
            <v>SY Stacio</v>
          </cell>
          <cell r="C9">
            <v>8.0111877526930506</v>
          </cell>
          <cell r="M9">
            <v>0</v>
          </cell>
        </row>
        <row r="10">
          <cell r="B10" t="str">
            <v>DUELING</v>
          </cell>
          <cell r="C10">
            <v>3.4478292470879057</v>
          </cell>
          <cell r="M10">
            <v>0</v>
          </cell>
        </row>
        <row r="11">
          <cell r="B11" t="str">
            <v>P9944</v>
          </cell>
          <cell r="C11">
            <v>0.89285714285714279</v>
          </cell>
          <cell r="M11">
            <v>0</v>
          </cell>
        </row>
        <row r="12">
          <cell r="B12" t="str">
            <v>DKC4897</v>
          </cell>
          <cell r="C12">
            <v>0.84014822386915422</v>
          </cell>
          <cell r="M12">
            <v>0</v>
          </cell>
        </row>
        <row r="13">
          <cell r="B13" t="str">
            <v>KWS HYPOLITO</v>
          </cell>
          <cell r="C13">
            <v>0.26041666666666663</v>
          </cell>
          <cell r="M13">
            <v>0</v>
          </cell>
        </row>
        <row r="14">
          <cell r="B14" t="str">
            <v>KWS LEMONDO</v>
          </cell>
          <cell r="C14">
            <v>0.55555555555555558</v>
          </cell>
          <cell r="M14">
            <v>0</v>
          </cell>
        </row>
        <row r="15">
          <cell r="B15" t="str">
            <v>LID4320C</v>
          </cell>
          <cell r="C15">
            <v>0.5494505494505495</v>
          </cell>
          <cell r="M15">
            <v>0</v>
          </cell>
        </row>
        <row r="16">
          <cell r="B16" t="str">
            <v>SY Solandri</v>
          </cell>
          <cell r="C16">
            <v>0</v>
          </cell>
          <cell r="M16">
            <v>0</v>
          </cell>
        </row>
        <row r="17">
          <cell r="B17" t="str">
            <v>DKC5092</v>
          </cell>
          <cell r="C17">
            <v>0.25773195876288657</v>
          </cell>
          <cell r="M17">
            <v>0.2808988764044944</v>
          </cell>
        </row>
        <row r="18">
          <cell r="B18" t="str">
            <v>Átlag_korai</v>
          </cell>
          <cell r="C18">
            <v>4.9172114158204758</v>
          </cell>
          <cell r="M18">
            <v>0.15758274185240478</v>
          </cell>
        </row>
        <row r="19">
          <cell r="B19" t="str">
            <v>Maximum_korai</v>
          </cell>
          <cell r="C19">
            <v>20.441154048564076</v>
          </cell>
          <cell r="M19">
            <v>1.2626262626262625</v>
          </cell>
        </row>
        <row r="20">
          <cell r="B20" t="str">
            <v>Minimum_korai</v>
          </cell>
          <cell r="C20">
            <v>0</v>
          </cell>
          <cell r="M20">
            <v>0</v>
          </cell>
        </row>
      </sheetData>
      <sheetData sheetId="21">
        <row r="5">
          <cell r="B5" t="str">
            <v>P9944_</v>
          </cell>
          <cell r="C5">
            <v>0.390625</v>
          </cell>
          <cell r="M5">
            <v>0</v>
          </cell>
        </row>
        <row r="6">
          <cell r="B6" t="str">
            <v>DKC5092_</v>
          </cell>
          <cell r="C6">
            <v>1.4079074252651882</v>
          </cell>
          <cell r="M6">
            <v>0</v>
          </cell>
        </row>
        <row r="7">
          <cell r="B7" t="str">
            <v>INDEM1012</v>
          </cell>
          <cell r="C7">
            <v>0.27173913043478259</v>
          </cell>
          <cell r="M7">
            <v>0</v>
          </cell>
        </row>
        <row r="8">
          <cell r="B8" t="str">
            <v>P9975</v>
          </cell>
          <cell r="C8">
            <v>0.58139534883720934</v>
          </cell>
          <cell r="M8">
            <v>0.25510204081632654</v>
          </cell>
        </row>
        <row r="9">
          <cell r="B9" t="str">
            <v>DKC4933</v>
          </cell>
          <cell r="C9">
            <v>0.29411764705882354</v>
          </cell>
          <cell r="M9">
            <v>0</v>
          </cell>
        </row>
        <row r="10">
          <cell r="B10" t="str">
            <v>KABARETTO</v>
          </cell>
          <cell r="C10">
            <v>0</v>
          </cell>
          <cell r="M10">
            <v>0</v>
          </cell>
        </row>
        <row r="11">
          <cell r="B11" t="str">
            <v>Sy Evident</v>
          </cell>
          <cell r="C11">
            <v>0</v>
          </cell>
          <cell r="M11">
            <v>0</v>
          </cell>
        </row>
        <row r="12">
          <cell r="B12" t="str">
            <v>P0260</v>
          </cell>
          <cell r="C12">
            <v>18.266374024526197</v>
          </cell>
          <cell r="M12">
            <v>0</v>
          </cell>
        </row>
        <row r="13">
          <cell r="B13" t="str">
            <v>P03376</v>
          </cell>
          <cell r="C13">
            <v>0.4098360655737705</v>
          </cell>
          <cell r="M13">
            <v>0</v>
          </cell>
        </row>
        <row r="14">
          <cell r="B14" t="str">
            <v>Fidencio</v>
          </cell>
          <cell r="C14">
            <v>1.3214796485891354</v>
          </cell>
          <cell r="M14">
            <v>0</v>
          </cell>
        </row>
        <row r="15">
          <cell r="B15" t="str">
            <v>P0450</v>
          </cell>
          <cell r="C15">
            <v>3.6179537308569567</v>
          </cell>
          <cell r="M15">
            <v>0</v>
          </cell>
        </row>
        <row r="16">
          <cell r="B16" t="str">
            <v>RGT Mexxini</v>
          </cell>
          <cell r="C16">
            <v>0.26881720430107531</v>
          </cell>
          <cell r="M16">
            <v>0</v>
          </cell>
        </row>
        <row r="17">
          <cell r="B17" t="str">
            <v>KWS GENTO</v>
          </cell>
          <cell r="C17">
            <v>3.1441532563159553</v>
          </cell>
          <cell r="M17">
            <v>0</v>
          </cell>
        </row>
        <row r="18">
          <cell r="B18" t="str">
            <v>P0710</v>
          </cell>
          <cell r="C18">
            <v>1.4086687306501546</v>
          </cell>
          <cell r="M18">
            <v>0</v>
          </cell>
        </row>
        <row r="19">
          <cell r="B19" t="str">
            <v>P0725</v>
          </cell>
          <cell r="C19">
            <v>0</v>
          </cell>
          <cell r="M19">
            <v>0</v>
          </cell>
        </row>
        <row r="20">
          <cell r="B20" t="str">
            <v>Átlag_közép</v>
          </cell>
          <cell r="C20">
            <v>2.0922044808272835</v>
          </cell>
          <cell r="M20">
            <v>1.7006802721088437E-2</v>
          </cell>
        </row>
        <row r="21">
          <cell r="B21" t="str">
            <v>Maximum_közép</v>
          </cell>
          <cell r="C21">
            <v>18.266374024526197</v>
          </cell>
          <cell r="M21">
            <v>0.25510204081632654</v>
          </cell>
        </row>
        <row r="22">
          <cell r="B22" t="str">
            <v>Minimum_közép</v>
          </cell>
          <cell r="C22">
            <v>0</v>
          </cell>
          <cell r="M22">
            <v>0</v>
          </cell>
        </row>
      </sheetData>
      <sheetData sheetId="22">
        <row r="5">
          <cell r="B5" t="str">
            <v>P92841</v>
          </cell>
          <cell r="C5">
            <v>0</v>
          </cell>
          <cell r="M5">
            <v>0.25252525252525254</v>
          </cell>
        </row>
        <row r="6">
          <cell r="B6" t="str">
            <v>KWS OLTENIO</v>
          </cell>
          <cell r="C6">
            <v>0</v>
          </cell>
          <cell r="M6">
            <v>0</v>
          </cell>
        </row>
        <row r="7">
          <cell r="B7" t="str">
            <v>DKC4533</v>
          </cell>
          <cell r="C7">
            <v>0</v>
          </cell>
          <cell r="M7">
            <v>0</v>
          </cell>
        </row>
        <row r="8">
          <cell r="B8" t="str">
            <v>FOXTRAIL</v>
          </cell>
          <cell r="C8">
            <v>0</v>
          </cell>
          <cell r="M8">
            <v>0</v>
          </cell>
        </row>
        <row r="9">
          <cell r="B9" t="str">
            <v>SY Stacio</v>
          </cell>
          <cell r="C9">
            <v>0</v>
          </cell>
          <cell r="M9">
            <v>0.25773195876288657</v>
          </cell>
        </row>
        <row r="10">
          <cell r="B10" t="str">
            <v>DUELING</v>
          </cell>
          <cell r="C10">
            <v>0</v>
          </cell>
          <cell r="M10">
            <v>0</v>
          </cell>
        </row>
        <row r="11">
          <cell r="B11" t="str">
            <v>P9944</v>
          </cell>
          <cell r="C11">
            <v>0</v>
          </cell>
          <cell r="M11">
            <v>0</v>
          </cell>
        </row>
        <row r="12">
          <cell r="B12" t="str">
            <v>DKC4897</v>
          </cell>
          <cell r="C12">
            <v>0</v>
          </cell>
          <cell r="M12">
            <v>0</v>
          </cell>
        </row>
        <row r="13">
          <cell r="B13" t="str">
            <v>KWS HYPOLITO</v>
          </cell>
          <cell r="C13">
            <v>0</v>
          </cell>
          <cell r="M13">
            <v>0</v>
          </cell>
        </row>
        <row r="14">
          <cell r="B14" t="str">
            <v>KWS LEMONDO</v>
          </cell>
          <cell r="C14">
            <v>0</v>
          </cell>
          <cell r="M14">
            <v>0</v>
          </cell>
        </row>
        <row r="15">
          <cell r="B15" t="str">
            <v>LID4320C</v>
          </cell>
          <cell r="C15">
            <v>0</v>
          </cell>
          <cell r="M15">
            <v>0</v>
          </cell>
        </row>
        <row r="16">
          <cell r="B16" t="str">
            <v>SY Solandri</v>
          </cell>
          <cell r="C16">
            <v>0</v>
          </cell>
          <cell r="M16">
            <v>0</v>
          </cell>
        </row>
        <row r="17">
          <cell r="B17" t="str">
            <v>DKC5092</v>
          </cell>
          <cell r="C17">
            <v>0</v>
          </cell>
          <cell r="M17">
            <v>0</v>
          </cell>
        </row>
        <row r="18">
          <cell r="B18" t="str">
            <v>Átlag_korai</v>
          </cell>
          <cell r="C18">
            <v>0</v>
          </cell>
          <cell r="M18">
            <v>3.9250554714472245E-2</v>
          </cell>
        </row>
        <row r="19">
          <cell r="B19" t="str">
            <v>Maximum_korai</v>
          </cell>
          <cell r="C19">
            <v>0</v>
          </cell>
          <cell r="M19">
            <v>0.25773195876288657</v>
          </cell>
        </row>
        <row r="20">
          <cell r="B20" t="str">
            <v>Minimum_korai</v>
          </cell>
          <cell r="C20">
            <v>0</v>
          </cell>
          <cell r="M20">
            <v>0</v>
          </cell>
        </row>
      </sheetData>
      <sheetData sheetId="23">
        <row r="5">
          <cell r="B5" t="str">
            <v>P9944_</v>
          </cell>
          <cell r="C5">
            <v>0</v>
          </cell>
          <cell r="M5">
            <v>0</v>
          </cell>
        </row>
        <row r="6">
          <cell r="B6" t="str">
            <v>DKC5092_</v>
          </cell>
          <cell r="C6">
            <v>0</v>
          </cell>
          <cell r="M6">
            <v>0</v>
          </cell>
        </row>
        <row r="7">
          <cell r="B7" t="str">
            <v>INDEM1012</v>
          </cell>
          <cell r="C7">
            <v>0</v>
          </cell>
          <cell r="M7">
            <v>0</v>
          </cell>
        </row>
        <row r="8">
          <cell r="B8" t="str">
            <v>P9975</v>
          </cell>
          <cell r="C8">
            <v>0</v>
          </cell>
          <cell r="M8">
            <v>0</v>
          </cell>
        </row>
        <row r="9">
          <cell r="B9" t="str">
            <v>DKC4933</v>
          </cell>
          <cell r="C9">
            <v>0.25</v>
          </cell>
          <cell r="M9">
            <v>0</v>
          </cell>
        </row>
        <row r="10">
          <cell r="B10" t="str">
            <v>KABARETTO</v>
          </cell>
          <cell r="C10">
            <v>0</v>
          </cell>
          <cell r="M10">
            <v>0.78947368421052633</v>
          </cell>
        </row>
        <row r="11">
          <cell r="B11" t="str">
            <v>Sy Evident</v>
          </cell>
          <cell r="C11">
            <v>0</v>
          </cell>
          <cell r="M11">
            <v>0</v>
          </cell>
        </row>
        <row r="12">
          <cell r="B12" t="str">
            <v>P0260</v>
          </cell>
          <cell r="C12">
            <v>0</v>
          </cell>
          <cell r="M12">
            <v>0</v>
          </cell>
        </row>
        <row r="13">
          <cell r="B13" t="str">
            <v>P03376</v>
          </cell>
          <cell r="C13">
            <v>0</v>
          </cell>
          <cell r="M13">
            <v>0.48076923076923078</v>
          </cell>
        </row>
        <row r="14">
          <cell r="B14" t="str">
            <v>Fidencio</v>
          </cell>
          <cell r="C14">
            <v>0</v>
          </cell>
          <cell r="M14">
            <v>0</v>
          </cell>
        </row>
        <row r="15">
          <cell r="B15" t="str">
            <v>P0450</v>
          </cell>
          <cell r="C15">
            <v>0</v>
          </cell>
          <cell r="M15">
            <v>0</v>
          </cell>
        </row>
        <row r="16">
          <cell r="B16" t="str">
            <v>RGT Mexxini</v>
          </cell>
          <cell r="C16">
            <v>0</v>
          </cell>
          <cell r="M16">
            <v>0.5</v>
          </cell>
        </row>
        <row r="17">
          <cell r="B17" t="str">
            <v>KWS GENTO</v>
          </cell>
          <cell r="C17">
            <v>0</v>
          </cell>
          <cell r="M17">
            <v>0</v>
          </cell>
        </row>
        <row r="18">
          <cell r="B18" t="str">
            <v>P0710</v>
          </cell>
          <cell r="C18">
            <v>0</v>
          </cell>
          <cell r="M18">
            <v>0</v>
          </cell>
        </row>
        <row r="19">
          <cell r="B19" t="str">
            <v>P0725</v>
          </cell>
          <cell r="C19">
            <v>0</v>
          </cell>
          <cell r="M19">
            <v>0</v>
          </cell>
        </row>
        <row r="20">
          <cell r="B20" t="str">
            <v>Átlag_közép</v>
          </cell>
          <cell r="C20">
            <v>1.6666666666666666E-2</v>
          </cell>
          <cell r="M20">
            <v>0.11801619433198381</v>
          </cell>
        </row>
        <row r="21">
          <cell r="B21" t="str">
            <v>Maximum_közép</v>
          </cell>
          <cell r="C21">
            <v>0.25</v>
          </cell>
          <cell r="M21">
            <v>0.78947368421052633</v>
          </cell>
        </row>
        <row r="22">
          <cell r="B22" t="str">
            <v>Minimum_közép</v>
          </cell>
          <cell r="C22">
            <v>0</v>
          </cell>
          <cell r="M22">
            <v>0</v>
          </cell>
        </row>
      </sheetData>
      <sheetData sheetId="24">
        <row r="5">
          <cell r="B5" t="str">
            <v>P92841</v>
          </cell>
          <cell r="I5">
            <v>68.25</v>
          </cell>
        </row>
        <row r="6">
          <cell r="B6" t="str">
            <v>KWS OLTENIO</v>
          </cell>
          <cell r="I6">
            <v>67.125</v>
          </cell>
        </row>
        <row r="7">
          <cell r="B7" t="str">
            <v>DKC4533</v>
          </cell>
          <cell r="I7">
            <v>66.208333333333329</v>
          </cell>
        </row>
        <row r="8">
          <cell r="B8" t="str">
            <v>FOXTRAIL</v>
          </cell>
          <cell r="I8">
            <v>68.416666666666671</v>
          </cell>
        </row>
        <row r="9">
          <cell r="B9" t="str">
            <v>SY Stacio</v>
          </cell>
          <cell r="I9">
            <v>70.75</v>
          </cell>
        </row>
        <row r="10">
          <cell r="B10" t="str">
            <v>DUELING</v>
          </cell>
          <cell r="I10">
            <v>66.708333333333329</v>
          </cell>
        </row>
        <row r="11">
          <cell r="B11" t="str">
            <v>P9944</v>
          </cell>
          <cell r="I11">
            <v>71.541666666666671</v>
          </cell>
        </row>
        <row r="12">
          <cell r="B12" t="str">
            <v>DKC4897</v>
          </cell>
          <cell r="I12">
            <v>71.541666666666671</v>
          </cell>
        </row>
        <row r="13">
          <cell r="B13" t="str">
            <v>KWS HYPOLITO</v>
          </cell>
          <cell r="I13">
            <v>71.416666666666671</v>
          </cell>
        </row>
        <row r="14">
          <cell r="B14" t="str">
            <v>KWS LEMONDO</v>
          </cell>
          <cell r="I14">
            <v>68.791666666666671</v>
          </cell>
        </row>
        <row r="15">
          <cell r="B15" t="str">
            <v>LID4320C</v>
          </cell>
          <cell r="I15">
            <v>70.083333333333329</v>
          </cell>
        </row>
        <row r="16">
          <cell r="B16" t="str">
            <v>SY Solandri</v>
          </cell>
          <cell r="I16">
            <v>71.25</v>
          </cell>
        </row>
        <row r="17">
          <cell r="B17" t="str">
            <v>DKC5092</v>
          </cell>
          <cell r="I17">
            <v>67.291666666666671</v>
          </cell>
        </row>
        <row r="18">
          <cell r="B18" t="str">
            <v>Átlag_korai</v>
          </cell>
          <cell r="I18">
            <v>69.182692307692292</v>
          </cell>
        </row>
        <row r="19">
          <cell r="B19" t="str">
            <v>Maximum_korai</v>
          </cell>
          <cell r="I19">
            <v>71.541666666666671</v>
          </cell>
        </row>
        <row r="20">
          <cell r="B20" t="str">
            <v>Minimum_korai</v>
          </cell>
          <cell r="I20">
            <v>66.208333333333329</v>
          </cell>
        </row>
      </sheetData>
      <sheetData sheetId="25">
        <row r="5">
          <cell r="B5" t="str">
            <v>P9944_</v>
          </cell>
          <cell r="I5">
            <v>71.875</v>
          </cell>
        </row>
        <row r="6">
          <cell r="B6" t="str">
            <v>DKC5092_</v>
          </cell>
          <cell r="I6">
            <v>68.041666666666671</v>
          </cell>
        </row>
        <row r="7">
          <cell r="B7" t="str">
            <v>INDEM1012</v>
          </cell>
          <cell r="I7">
            <v>71.458333333333329</v>
          </cell>
        </row>
        <row r="8">
          <cell r="B8" t="str">
            <v>P9975</v>
          </cell>
          <cell r="I8">
            <v>71.416666666666671</v>
          </cell>
        </row>
        <row r="9">
          <cell r="B9" t="str">
            <v>DKC4933</v>
          </cell>
          <cell r="I9">
            <v>70.416666666666671</v>
          </cell>
        </row>
        <row r="10">
          <cell r="B10" t="str">
            <v>KABARETTO</v>
          </cell>
          <cell r="I10">
            <v>72.083333333333329</v>
          </cell>
        </row>
        <row r="11">
          <cell r="B11" t="str">
            <v>Sy Evident</v>
          </cell>
          <cell r="I11">
            <v>72.458333333333329</v>
          </cell>
        </row>
        <row r="12">
          <cell r="B12" t="str">
            <v>P0260</v>
          </cell>
          <cell r="I12">
            <v>72.166666666666671</v>
          </cell>
        </row>
        <row r="13">
          <cell r="B13" t="str">
            <v>P03376</v>
          </cell>
          <cell r="I13">
            <v>70.625</v>
          </cell>
        </row>
        <row r="14">
          <cell r="B14" t="str">
            <v>Fidencio</v>
          </cell>
          <cell r="I14">
            <v>70.541666666666671</v>
          </cell>
        </row>
        <row r="15">
          <cell r="B15" t="str">
            <v>P0450</v>
          </cell>
          <cell r="I15">
            <v>71.25</v>
          </cell>
        </row>
        <row r="16">
          <cell r="B16" t="str">
            <v>RGT Mexxini</v>
          </cell>
          <cell r="I16">
            <v>74.125</v>
          </cell>
        </row>
        <row r="17">
          <cell r="B17" t="str">
            <v>KWS GENTO</v>
          </cell>
          <cell r="I17">
            <v>68.75</v>
          </cell>
        </row>
        <row r="18">
          <cell r="B18" t="str">
            <v>P0710</v>
          </cell>
          <cell r="I18">
            <v>71.333333333333329</v>
          </cell>
        </row>
        <row r="19">
          <cell r="B19" t="str">
            <v>P0725</v>
          </cell>
          <cell r="I19">
            <v>76.333333333333329</v>
          </cell>
        </row>
        <row r="20">
          <cell r="B20" t="str">
            <v>Átlag_közép</v>
          </cell>
          <cell r="I20">
            <v>71.525000000000006</v>
          </cell>
        </row>
        <row r="21">
          <cell r="B21" t="str">
            <v>Maximum_közép</v>
          </cell>
          <cell r="I21">
            <v>76.333333333333329</v>
          </cell>
        </row>
        <row r="22">
          <cell r="B22" t="str">
            <v>Minimum_közép</v>
          </cell>
          <cell r="I22">
            <v>68.041666666666671</v>
          </cell>
        </row>
      </sheetData>
      <sheetData sheetId="2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énes Szieberth" id="{857B674B-437D-4482-B62B-1D36EC400821}" userId="2bed2132da9f1d29" providerId="Windows Live"/>
</personList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2-10-16T08:56:05.93" personId="{857B674B-437D-4482-B62B-1D36EC400821}" id="{9C47C354-02D9-4D85-82EF-BB0144CEDF86}">
    <text>A változás jellege: 
-210;"csökkenő"; &lt;-140;"kissé csökkenőˇ";
&gt;=-140;"stabil"</text>
  </threadedComment>
  <threadedComment ref="F1" dT="2022-12-03T04:36:36.34" personId="{857B674B-437D-4482-B62B-1D36EC400821}" id="{009FF5DF-EDF9-4D3F-B143-8CC4DD9FDDF8}">
    <text>A legnagyobb és legkisebb helyen mért  termés közötti átlagos különbség,  (14 kísérlet), kg/ha</text>
  </threadedComment>
  <threadedComment ref="G1" dT="2022-12-02T20:19:12.47" personId="{857B674B-437D-4482-B62B-1D36EC400821}" id="{003B8A88-87E5-418A-A8FE-30D64D614BA0}">
    <text>Jobbra, a következő cellában megjelenő ˅ jelre kattintva jelennek meg a választható hibridek</text>
  </threadedComment>
  <threadedComment ref="H1" dT="2022-12-02T20:18:34.98" personId="{857B674B-437D-4482-B62B-1D36EC400821}" id="{A5B49F99-1EB5-413D-9A33-0CA86D4E8244}">
    <text>Az alábbi  cellában megjelenő ˅ jelre kattintva jelennek meg a választható hibridek</text>
  </threadedComment>
  <threadedComment ref="I1" dT="2025-12-01T06:18:54.57" personId="{857B674B-437D-4482-B62B-1D36EC400821}" id="{25AC0974-5FF4-4632-9BE0-44D68E4C9B30}">
    <text>Ha a szórás. &lt;1, „stabil”;&lt;2,”kilengő”;&lt;3, „ingadozó”; &lt;4, „billegő”; &gt;=4, „Kérdezz!”</text>
  </threadedComment>
  <threadedComment ref="J1" dT="2025-12-01T06:19:25.26" personId="{857B674B-437D-4482-B62B-1D36EC400821}" id="{3CA8AD97-DF1D-4A36-88B9-D59D189A9A00}">
    <text>Ha a szórás. &lt;1, „stabil”;&lt;2,”kilengő”;&lt;3, „ingadozó”; &lt;4, „billegő”; &gt;=4, „Kérdezz!”</text>
  </threadedComment>
  <threadedComment ref="K1" dT="2026-01-10T11:42:31.02" personId="{857B674B-437D-4482-B62B-1D36EC400821}" id="{ED1983E9-FE25-4F0F-8FB5-0EDC858DFE18}">
    <text xml:space="preserve">Különbség az előzőhöz, ha az értékesítési ár 70000 Ft/t, első hibrid
</text>
  </threadedComment>
  <threadedComment ref="B2" dT="2022-12-02T08:59:55.67" personId="{857B674B-437D-4482-B62B-1D36EC400821}" id="{9AF63856-2088-4B78-83CF-C3425C9C685B}">
    <text>t/ha, A trendvonal kiinduló pontjának értéke</text>
  </threadedComment>
  <threadedComment ref="C2" dT="2022-12-02T09:00:30.15" personId="{857B674B-437D-4482-B62B-1D36EC400821}" id="{36EE6CEA-00B9-41A5-8FE0-B6A53FF61CF5}">
    <text>t/ha, a trendvonal végpontjának értéke</text>
  </threadedComment>
  <threadedComment ref="G2" dT="2025-12-01T06:25:16.39" personId="{857B674B-437D-4482-B62B-1D36EC400821}" id="{AF02F77F-4F25-463D-B6A9-7C8203575112}">
    <text>A hibrid, amihez hasonlítod a kérdésben forgót</text>
  </threadedComment>
  <threadedComment ref="I2" dT="2022-12-02T06:22:08.50" personId="{857B674B-437D-4482-B62B-1D36EC400821}" id="{84B88BB6-90D7-4FCF-AAEC-1AB476A3E7F8}">
    <text>Jellemzés: rangsor/hibridek száma a vizsgálati csoportban/csoportátlag/szöveges jellemzés</text>
  </threadedComment>
  <threadedComment ref="J2" dT="2022-12-02T06:22:08.50" personId="{857B674B-437D-4482-B62B-1D36EC400821}" id="{E017DE96-7582-43A8-8F9E-DEC632479455}">
    <text>Tenyészidő csoport</text>
  </threadedComment>
  <threadedComment ref="K2" dT="2026-01-10T11:43:17.64" personId="{857B674B-437D-4482-B62B-1D36EC400821}" id="{72A4762F-E69A-4938-A474-602F5C358F4B}">
    <text xml:space="preserve">Különbség az előzőhöz, ha az értékesítési ár 70000 Ft/t, második  hibrid
</text>
  </threadedComment>
  <threadedComment ref="K3" dT="2022-12-02T06:22:08.50" personId="{857B674B-437D-4482-B62B-1D36EC400821}" id="{C9C03327-A2CE-4610-830D-B5D3EC38FA81}">
    <text>Tenyészidő csoport</text>
  </threadedComment>
  <threadedComment ref="K4" dT="2022-12-02T06:20:48.03" personId="{857B674B-437D-4482-B62B-1D36EC400821}" id="{D5988AB4-D221-4AEC-90E5-FD8325822D48}">
    <text>Hely adata</text>
  </threadedComment>
  <threadedComment ref="K5" dT="2022-12-02T06:21:42.42" personId="{857B674B-437D-4482-B62B-1D36EC400821}" id="{0C326477-B601-4DB6-8682-0743B5B76BED}">
    <text>Bólyi kísérleti átlag</text>
  </threadedComment>
  <threadedComment ref="K6" dT="2022-12-02T06:19:44.50" personId="{857B674B-437D-4482-B62B-1D36EC400821}" id="{62292F3C-377F-4E4C-9C1C-D4E3288EB014}">
    <text>Zóna átlag</text>
  </threadedComment>
  <threadedComment ref="K7" dT="2022-12-02T06:20:06.87" personId="{857B674B-437D-4482-B62B-1D36EC400821}" id="{F2DA64B8-5BA6-411D-8943-698D23CD9AC5}">
    <text>Zóna átlag</text>
  </threadedComment>
  <threadedComment ref="B14" dT="2022-12-02T08:59:55.67" personId="{857B674B-437D-4482-B62B-1D36EC400821}" id="{EE9CFA65-4FA5-4839-B850-0ABADDCFA099}">
    <text>t/ha, a trendvonal kiinduló pontjának értéke</text>
  </threadedComment>
  <threadedComment ref="C14" dT="2022-12-02T09:00:30.15" personId="{857B674B-437D-4482-B62B-1D36EC400821}" id="{7D9340AA-F1F4-4733-A478-C8698A0F6FC6}">
    <text>t/ha, a trendvonal végpontjának értéke</text>
  </threadedComment>
  <threadedComment ref="G14" dT="2025-12-01T06:25:57.15" personId="{857B674B-437D-4482-B62B-1D36EC400821}" id="{A0D0A917-F72E-432F-9A22-4FBB38C7168D}">
    <text xml:space="preserve">A hibrid, amit hasonlítasz </text>
  </threadedComment>
  <threadedComment ref="B15" dT="2025-12-01T06:23:01.84" personId="{857B674B-437D-4482-B62B-1D36EC400821}" id="{206DB60F-C1EE-42AD-BDCB-6386F9334DCD}">
    <text>A csoport, ahova a kiválasztott hibrid tartozik</text>
  </threadedComment>
  <threadedComment ref="A16" dT="2022-12-02T06:20:48.03" personId="{857B674B-437D-4482-B62B-1D36EC400821}" id="{C2C1197C-6603-4F52-90CA-A5D98223C571}">
    <text>Hely adata</text>
  </threadedComment>
  <threadedComment ref="K16" dT="2022-12-02T06:20:48.03" personId="{857B674B-437D-4482-B62B-1D36EC400821}" id="{F077FE34-73D9-4A6E-94A5-53C9CE9A43E8}">
    <text>Hely adata</text>
  </threadedComment>
  <threadedComment ref="A17" dT="2022-12-02T06:21:42.42" personId="{857B674B-437D-4482-B62B-1D36EC400821}" id="{E5A57D42-9911-4F2C-860C-9EB77B50BD23}">
    <text>Bólyi kísérleti átlag</text>
  </threadedComment>
  <threadedComment ref="B17" dT="2025-11-30T20:23:48.75" personId="{857B674B-437D-4482-B62B-1D36EC400821}" id="{8B92FE0D-5BD6-435C-A869-97D0D48DF42F}">
    <text>Átlagadat, Bóly</text>
  </threadedComment>
  <threadedComment ref="C17" dT="2025-11-30T20:24:39.93" personId="{857B674B-437D-4482-B62B-1D36EC400821}" id="{EB0F4D71-4380-470C-A6B4-ADD926CCC8E1}">
    <text>Átlagadat, Bóly</text>
  </threadedComment>
  <threadedComment ref="K17" dT="2022-12-02T06:21:42.42" personId="{857B674B-437D-4482-B62B-1D36EC400821}" id="{893A8D6B-113B-44BC-BFCB-22321B06B93A}">
    <text>Bólyi kísérleti átlag</text>
  </threadedComment>
  <threadedComment ref="A18" dT="2022-12-02T06:19:44.50" personId="{857B674B-437D-4482-B62B-1D36EC400821}" id="{58D080EF-D443-4894-9B29-3BDBA5629405}">
    <text>Zóna átlag</text>
  </threadedComment>
  <threadedComment ref="K18" dT="2022-12-02T06:19:44.50" personId="{857B674B-437D-4482-B62B-1D36EC400821}" id="{38BCB307-8DD8-4BB6-921E-959108C0E86F}">
    <text>Zóna átlag</text>
  </threadedComment>
  <threadedComment ref="A19" dT="2022-12-02T06:20:06.87" personId="{857B674B-437D-4482-B62B-1D36EC400821}" id="{A66CDDE7-6979-4698-8515-1C1849E1EA3B}">
    <text>Zóna átlag</text>
  </threadedComment>
  <threadedComment ref="K19" dT="2022-12-02T06:20:06.87" personId="{857B674B-437D-4482-B62B-1D36EC400821}" id="{2D97BB96-2E34-4051-9BB7-2673E844FA09}">
    <text>Zóna átlag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U1" dT="2025-11-30T19:12:03.17" personId="{857B674B-437D-4482-B62B-1D36EC400821}" id="{7DAF5B58-523C-484F-8A76-5A01A4E04E12}">
    <text>Bólyi átlagadat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gyarkukoricaklub@me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hyperlink" Target="mailto:magyarkukoricaklub@me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magyarkukoricaklub@me.com" TargetMode="External"/><Relationship Id="rId1" Type="http://schemas.openxmlformats.org/officeDocument/2006/relationships/hyperlink" Target="mailto:magyarkukoricaklub@me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2BB9-61A3-4E76-9179-A63EC15ED261}">
  <sheetPr>
    <tabColor rgb="FFFF0000"/>
  </sheetPr>
  <dimension ref="A1:G16"/>
  <sheetViews>
    <sheetView zoomScale="177" zoomScaleNormal="177" workbookViewId="0">
      <selection activeCell="B8" sqref="B8"/>
    </sheetView>
  </sheetViews>
  <sheetFormatPr defaultRowHeight="14.4" x14ac:dyDescent="0.3"/>
  <cols>
    <col min="2" max="2" width="64.109375" customWidth="1"/>
  </cols>
  <sheetData>
    <row r="1" spans="1:7" x14ac:dyDescent="0.3">
      <c r="A1" t="s">
        <v>15</v>
      </c>
    </row>
    <row r="3" spans="1:7" x14ac:dyDescent="0.3">
      <c r="A3" s="9" t="s">
        <v>1</v>
      </c>
      <c r="B3" t="s">
        <v>52</v>
      </c>
    </row>
    <row r="4" spans="1:7" x14ac:dyDescent="0.3">
      <c r="A4" s="9" t="s">
        <v>0</v>
      </c>
      <c r="B4" t="s">
        <v>53</v>
      </c>
    </row>
    <row r="5" spans="1:7" x14ac:dyDescent="0.3">
      <c r="A5" s="9" t="s">
        <v>2</v>
      </c>
      <c r="B5" t="s">
        <v>54</v>
      </c>
    </row>
    <row r="6" spans="1:7" x14ac:dyDescent="0.3">
      <c r="A6" s="9" t="s">
        <v>14</v>
      </c>
      <c r="B6" t="s">
        <v>34</v>
      </c>
    </row>
    <row r="7" spans="1:7" ht="28.8" x14ac:dyDescent="0.3">
      <c r="A7" s="9" t="s">
        <v>33</v>
      </c>
      <c r="B7" s="6" t="s">
        <v>55</v>
      </c>
    </row>
    <row r="8" spans="1:7" x14ac:dyDescent="0.3">
      <c r="A8" s="9"/>
      <c r="B8" s="19" t="s">
        <v>56</v>
      </c>
    </row>
    <row r="9" spans="1:7" x14ac:dyDescent="0.3">
      <c r="A9" s="5"/>
    </row>
    <row r="10" spans="1:7" x14ac:dyDescent="0.3">
      <c r="A10" s="5"/>
    </row>
    <row r="11" spans="1:7" x14ac:dyDescent="0.3">
      <c r="A11" s="5"/>
    </row>
    <row r="12" spans="1:7" x14ac:dyDescent="0.3">
      <c r="A12" s="5"/>
    </row>
    <row r="16" spans="1:7" x14ac:dyDescent="0.3">
      <c r="G16">
        <f>H16</f>
        <v>0</v>
      </c>
    </row>
  </sheetData>
  <sheetProtection algorithmName="SHA-512" hashValue="xA3aWTUdtrCq0wlPMyDkAzIuWJ+7ARHHQI5iBcxHMRBm2O2wMgBdQfvJ2ewgN2puPWDe5IDp0uJBb0CvCSvuxg==" saltValue="XP1D9WpEdnKFjKFL864/jQ==" spinCount="100000" sheet="1" objects="1" scenarios="1"/>
  <phoneticPr fontId="6" type="noConversion"/>
  <hyperlinks>
    <hyperlink ref="B8" r:id="rId1" xr:uid="{6B3B8A99-5711-41F5-B26E-5EA2B1BFFF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FA33-53D7-46E5-9D07-85A7D3D24B69}">
  <sheetPr>
    <tabColor rgb="FF00B050"/>
  </sheetPr>
  <dimension ref="A1:M21"/>
  <sheetViews>
    <sheetView showGridLines="0" tabSelected="1" zoomScale="140" zoomScaleNormal="140" workbookViewId="0">
      <pane xSplit="12" ySplit="21" topLeftCell="O24" activePane="bottomRight" state="frozen"/>
      <selection pane="topRight" activeCell="M1" sqref="M1"/>
      <selection pane="bottomLeft" activeCell="A22" sqref="A22"/>
      <selection pane="bottomRight" activeCell="E1" sqref="E1"/>
    </sheetView>
  </sheetViews>
  <sheetFormatPr defaultColWidth="8.88671875" defaultRowHeight="14.4" x14ac:dyDescent="0.3"/>
  <cols>
    <col min="1" max="1" width="19.109375" style="37" bestFit="1" customWidth="1"/>
    <col min="2" max="2" width="9.77734375" style="37" customWidth="1"/>
    <col min="3" max="3" width="9.88671875" style="37" customWidth="1"/>
    <col min="4" max="4" width="30.33203125" style="37" hidden="1" customWidth="1"/>
    <col min="5" max="5" width="26.21875" style="37" customWidth="1"/>
    <col min="6" max="6" width="14" style="37" customWidth="1"/>
    <col min="7" max="7" width="20.109375" style="2" customWidth="1"/>
    <col min="8" max="8" width="8.44140625" style="37" customWidth="1"/>
    <col min="9" max="9" width="11.77734375" style="37" customWidth="1"/>
    <col min="10" max="10" width="10.77734375" style="37" customWidth="1"/>
    <col min="11" max="11" width="13.44140625" style="37" bestFit="1" customWidth="1"/>
    <col min="12" max="12" width="8.88671875" style="37"/>
    <col min="13" max="16384" width="8.88671875" style="2"/>
  </cols>
  <sheetData>
    <row r="1" spans="1:13" s="74" customFormat="1" ht="49.2" customHeight="1" x14ac:dyDescent="0.3">
      <c r="A1" s="65" t="s">
        <v>41</v>
      </c>
      <c r="B1" s="25" t="s">
        <v>67</v>
      </c>
      <c r="C1" s="26" t="s">
        <v>68</v>
      </c>
      <c r="D1" s="66"/>
      <c r="E1" s="67" t="s">
        <v>152</v>
      </c>
      <c r="F1" s="68" t="s">
        <v>65</v>
      </c>
      <c r="G1" s="69" t="s">
        <v>35</v>
      </c>
      <c r="H1" s="70" t="s">
        <v>69</v>
      </c>
      <c r="I1" s="73" t="s">
        <v>122</v>
      </c>
      <c r="J1" s="73" t="s">
        <v>123</v>
      </c>
      <c r="K1" s="77">
        <f>F2*70</f>
        <v>-26683.646127582051</v>
      </c>
      <c r="L1" s="71"/>
      <c r="M1" s="74" t="s">
        <v>75</v>
      </c>
    </row>
    <row r="2" spans="1:13" s="15" customFormat="1" ht="28.8" x14ac:dyDescent="0.3">
      <c r="A2" s="27" t="str">
        <f>G2</f>
        <v>KWS LEMONDO</v>
      </c>
      <c r="B2" s="23">
        <f>VLOOKUP($G$2,Adatok!$A$2:$C$35,2,0)</f>
        <v>11.551359912229477</v>
      </c>
      <c r="C2" s="23">
        <f>VLOOKUP(G2,Adatok!$A$2:$C$35,3,0)</f>
        <v>6.2146306867130674</v>
      </c>
      <c r="D2" s="28">
        <f>(C2-B2)/5</f>
        <v>-1.067345845103282</v>
      </c>
      <c r="E2" s="29" t="str">
        <f>IF(F2&lt;-280,"erősen csökkenő",IF(E1&lt;-210,"kissé csökkenő",IF(E1&lt;-140,"csökkenő","stabil")))</f>
        <v>erősen csökkenő</v>
      </c>
      <c r="F2" s="30">
        <f>(C2-B2)*1000/14</f>
        <v>-381.19494467974357</v>
      </c>
      <c r="G2" s="14" t="s">
        <v>87</v>
      </c>
      <c r="H2" s="31" t="s">
        <v>74</v>
      </c>
      <c r="I2" s="72" t="str">
        <f>_xlfn.XLOOKUP(G2,Adatok!A2:A35,Adatok!M2:M35)</f>
        <v>3./13/8,12 billegő</v>
      </c>
      <c r="J2" s="72" t="str">
        <f>_xlfn.XLOOKUP(G14,Adatok!A2:A35,Adatok!M2:M35)</f>
        <v>1./15/8,6 ingadozó</v>
      </c>
      <c r="K2" s="78">
        <f>F14*70</f>
        <v>-22961.529767734664</v>
      </c>
      <c r="L2" s="60"/>
    </row>
    <row r="3" spans="1:13" ht="36.6" hidden="1" x14ac:dyDescent="0.45">
      <c r="A3" s="32"/>
      <c r="B3" s="23">
        <f>VLOOKUP($G$2,Adatok!$A$2:$C$14,2,0)</f>
        <v>11.551359912229477</v>
      </c>
      <c r="C3" s="33"/>
      <c r="D3" s="34"/>
      <c r="E3" s="35"/>
      <c r="F3" s="36"/>
      <c r="I3" s="38" t="str">
        <f>VLOOKUP([1]Trend!$G$14,[1]Munka1!$A$1:$AI$49,4,0)</f>
        <v>Késői</v>
      </c>
      <c r="J3" s="39"/>
      <c r="K3" s="40" t="s">
        <v>42</v>
      </c>
      <c r="L3" s="41"/>
    </row>
    <row r="4" spans="1:13" ht="23.4" hidden="1" x14ac:dyDescent="0.45">
      <c r="A4" s="32"/>
      <c r="B4" s="23">
        <f>VLOOKUP($G$2,Adatok!$A$2:$C$14,2,0)</f>
        <v>11.551359912229477</v>
      </c>
      <c r="C4" s="42" t="s">
        <v>13</v>
      </c>
      <c r="D4" s="36" t="s">
        <v>7</v>
      </c>
      <c r="E4" s="36"/>
      <c r="F4" s="36"/>
      <c r="I4" s="21" t="e">
        <f>VLOOKUP($G2,[1]Munka1!$A$2:$F$49,5,0)</f>
        <v>#N/A</v>
      </c>
      <c r="J4" s="21" t="e">
        <f>VLOOKUP($G2,[1]Munka1!$A$2:$F$49,6,0)</f>
        <v>#N/A</v>
      </c>
      <c r="K4" s="40" t="s">
        <v>38</v>
      </c>
      <c r="L4" s="41"/>
    </row>
    <row r="5" spans="1:13" ht="23.4" hidden="1" x14ac:dyDescent="0.45">
      <c r="A5" s="32"/>
      <c r="B5" s="23">
        <f>VLOOKUP($G$2,Adatok!$A$2:$C$14,2,0)</f>
        <v>11.551359912229477</v>
      </c>
      <c r="C5" s="42">
        <v>0.749</v>
      </c>
      <c r="D5" s="36" t="s">
        <v>6</v>
      </c>
      <c r="E5" s="42"/>
      <c r="F5" s="36">
        <v>9.25</v>
      </c>
      <c r="G5" s="2">
        <v>10</v>
      </c>
      <c r="H5" s="43">
        <f>(G5-F5)/5</f>
        <v>0.15</v>
      </c>
      <c r="I5" s="22" t="e">
        <f>VLOOKUP($G$15,[1]Munka1!$A$2:$K$80,7,0)</f>
        <v>#N/A</v>
      </c>
      <c r="J5" s="22" t="e">
        <f>VLOOKUP($G$15,[1]Munka1!$A$2:$L$80,8,0)</f>
        <v>#N/A</v>
      </c>
      <c r="K5" s="40" t="s">
        <v>49</v>
      </c>
      <c r="L5" s="41"/>
    </row>
    <row r="6" spans="1:13" ht="23.4" hidden="1" x14ac:dyDescent="0.45">
      <c r="A6" s="32"/>
      <c r="B6" s="23">
        <f>VLOOKUP($G$2,Adatok!$A$2:$C$14,2,0)</f>
        <v>11.551359912229477</v>
      </c>
      <c r="C6" s="42">
        <v>0.49</v>
      </c>
      <c r="D6" s="36" t="s">
        <v>5</v>
      </c>
      <c r="E6" s="42"/>
      <c r="F6" s="36"/>
      <c r="I6" s="21" t="e">
        <f>VLOOKUP($G$15,[1]Munka1!$A$2:$K$80,11,0)</f>
        <v>#N/A</v>
      </c>
      <c r="J6" s="21" t="e">
        <f>VLOOKUP($G$15,[1]Munka1!$A$2:$L$80,12,0)</f>
        <v>#N/A</v>
      </c>
      <c r="K6" s="40" t="s">
        <v>71</v>
      </c>
      <c r="L6" s="41"/>
    </row>
    <row r="7" spans="1:13" ht="23.4" hidden="1" x14ac:dyDescent="0.45">
      <c r="A7" s="32"/>
      <c r="B7" s="23">
        <f>VLOOKUP($G$2,Adatok!$A$2:$C$14,2,0)</f>
        <v>11.551359912229477</v>
      </c>
      <c r="C7" s="42">
        <v>0.249</v>
      </c>
      <c r="D7" s="36" t="s">
        <v>4</v>
      </c>
      <c r="E7" s="42"/>
      <c r="F7" s="36"/>
      <c r="I7" s="21" t="e">
        <f>VLOOKUP($G$15,[1]Munka1!$A$2:$K$80,9,0)</f>
        <v>#N/A</v>
      </c>
      <c r="J7" s="21">
        <v>0.36231884057971014</v>
      </c>
      <c r="K7" s="40" t="s">
        <v>72</v>
      </c>
      <c r="L7" s="44"/>
    </row>
    <row r="8" spans="1:13" ht="23.4" hidden="1" x14ac:dyDescent="0.45">
      <c r="A8" s="32"/>
      <c r="B8" s="23">
        <f>VLOOKUP($G$2,Adatok!$A$2:$C$14,2,0)</f>
        <v>11.551359912229477</v>
      </c>
      <c r="C8" s="42">
        <v>0</v>
      </c>
      <c r="D8" s="36" t="s">
        <v>3</v>
      </c>
      <c r="E8" s="42"/>
      <c r="F8" s="36"/>
      <c r="I8" s="45" t="b">
        <f>IF($B$15&lt;10,"Lent",IF($B$15&lt;12,"Középen",IF($B$15&lt;15,"Fent")))</f>
        <v>0</v>
      </c>
      <c r="J8" s="45" t="str">
        <f>IF($C$15&lt;10,"Lent",IF($C$15&lt;12,"Középen",IF($C$15&lt;15,"Fent")))</f>
        <v>Lent</v>
      </c>
      <c r="K8" s="46" t="s">
        <v>73</v>
      </c>
      <c r="L8" s="44"/>
    </row>
    <row r="9" spans="1:13" ht="23.4" hidden="1" x14ac:dyDescent="0.45">
      <c r="A9" s="32"/>
      <c r="B9" s="23">
        <f>VLOOKUP($G$2,Adatok!$A$2:$C$14,2,0)</f>
        <v>11.551359912229477</v>
      </c>
      <c r="C9" s="47">
        <v>-0.249</v>
      </c>
      <c r="D9" s="36" t="s">
        <v>8</v>
      </c>
      <c r="E9" s="36"/>
      <c r="F9" s="36"/>
      <c r="I9" s="44"/>
      <c r="J9" s="44"/>
      <c r="K9" s="44"/>
      <c r="L9" s="44"/>
    </row>
    <row r="10" spans="1:13" ht="23.4" hidden="1" x14ac:dyDescent="0.45">
      <c r="A10" s="32"/>
      <c r="B10" s="23">
        <f>VLOOKUP($G$2,Adatok!$A$2:$C$14,2,0)</f>
        <v>11.551359912229477</v>
      </c>
      <c r="C10" s="47">
        <v>-0.49</v>
      </c>
      <c r="D10" s="36" t="s">
        <v>9</v>
      </c>
      <c r="E10" s="36"/>
      <c r="F10" s="36"/>
      <c r="I10" s="79" t="s">
        <v>56</v>
      </c>
      <c r="J10" s="80"/>
      <c r="K10" s="80"/>
      <c r="L10" s="80"/>
    </row>
    <row r="11" spans="1:13" ht="23.4" hidden="1" x14ac:dyDescent="0.45">
      <c r="A11" s="32"/>
      <c r="B11" s="23">
        <f>VLOOKUP($G$2,Adatok!$A$2:$C$14,2,0)</f>
        <v>11.551359912229477</v>
      </c>
      <c r="C11" s="47">
        <v>-0.749</v>
      </c>
      <c r="D11" s="36" t="s">
        <v>10</v>
      </c>
      <c r="E11" s="36"/>
      <c r="F11" s="36"/>
      <c r="I11" s="44"/>
      <c r="J11" s="44"/>
      <c r="K11" s="44"/>
      <c r="L11" s="44"/>
    </row>
    <row r="12" spans="1:13" ht="23.4" hidden="1" customHeight="1" x14ac:dyDescent="0.45">
      <c r="A12" s="32"/>
      <c r="B12" s="23">
        <f>VLOOKUP($G$2,Adatok!$A$2:$C$14,2,0)</f>
        <v>11.551359912229477</v>
      </c>
      <c r="C12" s="47" t="s">
        <v>12</v>
      </c>
      <c r="D12" s="36" t="s">
        <v>11</v>
      </c>
      <c r="I12" s="44"/>
      <c r="J12" s="44"/>
      <c r="K12" s="44"/>
      <c r="L12" s="44"/>
    </row>
    <row r="13" spans="1:13" ht="18" hidden="1" x14ac:dyDescent="0.3">
      <c r="A13" s="32"/>
      <c r="B13" s="23">
        <f>VLOOKUP($G$2,Adatok!$A$2:$C$14,2,0)</f>
        <v>11.551359912229477</v>
      </c>
      <c r="I13" s="44"/>
      <c r="J13" s="44"/>
      <c r="K13" s="44"/>
      <c r="L13" s="44"/>
    </row>
    <row r="14" spans="1:13" ht="18" x14ac:dyDescent="0.35">
      <c r="A14" s="27" t="str">
        <f>G14</f>
        <v>DKC4933</v>
      </c>
      <c r="B14" s="23">
        <f>VLOOKUP($G$14,Adatok!$A$2:$C$35,2,0)</f>
        <v>11.516074411760471</v>
      </c>
      <c r="C14" s="23">
        <f>VLOOKUP(G14,Adatok!$A$2:$C$35,3,0)</f>
        <v>6.9237684582135381</v>
      </c>
      <c r="E14" s="29" t="str">
        <f>IF(F14&lt;-280,"erősen csökkenő",IF(F14&lt;-210,"csökkenő",IF(F14&lt;-140,"kissé csökkenőˇ","stabil")))</f>
        <v>erősen csökkenő</v>
      </c>
      <c r="F14" s="30">
        <f>(C14-B14)*1000/14</f>
        <v>-328.02185382478092</v>
      </c>
      <c r="G14" s="75" t="s">
        <v>95</v>
      </c>
      <c r="H14" s="48" t="s">
        <v>70</v>
      </c>
      <c r="I14" s="49" t="s">
        <v>70</v>
      </c>
      <c r="J14" s="50"/>
      <c r="K14" s="51" t="str">
        <f>G14</f>
        <v>DKC4933</v>
      </c>
      <c r="L14" s="50"/>
    </row>
    <row r="15" spans="1:13" ht="18" x14ac:dyDescent="0.3">
      <c r="A15" s="37" t="str">
        <f>G2</f>
        <v>KWS LEMONDO</v>
      </c>
      <c r="B15" s="53" t="str">
        <f>VLOOKUP($G$2,Adatok!$A$2:$F$35,4,0)</f>
        <v>Korai</v>
      </c>
      <c r="C15" s="54"/>
      <c r="I15" s="55" t="str">
        <f>VLOOKUP($G$14,Adatok!$A$2:$F$35,4,0)</f>
        <v>Közép</v>
      </c>
      <c r="J15" s="76"/>
      <c r="K15" s="44"/>
      <c r="L15" s="44"/>
    </row>
    <row r="16" spans="1:13" ht="18" x14ac:dyDescent="0.3">
      <c r="A16" s="52" t="s">
        <v>38</v>
      </c>
      <c r="B16" s="24">
        <f>VLOOKUP($G$2,Adatok!$A$2:$F$35,5,0)</f>
        <v>14.625</v>
      </c>
      <c r="C16" s="24">
        <f>VLOOKUP($G$2,Adatok!$A$2:$L$35,6,0)</f>
        <v>15.1</v>
      </c>
      <c r="I16" s="21">
        <f>VLOOKUP($G$14,Adatok!$A$2:$F$35,5,0)</f>
        <v>18.774999999999999</v>
      </c>
      <c r="J16" s="21">
        <f>VLOOKUP($G$14,Adatok!$A$2:$F$35,6,0)</f>
        <v>16.974999999999998</v>
      </c>
      <c r="K16" s="40" t="s">
        <v>38</v>
      </c>
      <c r="L16" s="44"/>
    </row>
    <row r="17" spans="1:12" ht="18" x14ac:dyDescent="0.3">
      <c r="A17" s="52" t="s">
        <v>49</v>
      </c>
      <c r="B17" s="56">
        <f>VLOOKUP($G$2,Adatok!$A$2:$K$66,7,0)</f>
        <v>68.791666666666671</v>
      </c>
      <c r="C17" s="56">
        <f>VLOOKUP($G$2,Adatok!$A$2:$L$66,8,0)</f>
        <v>68.791666666666671</v>
      </c>
      <c r="I17" s="22">
        <f>VLOOKUP($G$14,Adatok!$A$2:$K$66,8,0)</f>
        <v>70.416666666666671</v>
      </c>
      <c r="J17" s="22">
        <f>VLOOKUP($G$14,Adatok!$A$2:$K$66,7,0)</f>
        <v>70.416666666666671</v>
      </c>
      <c r="K17" s="40" t="s">
        <v>49</v>
      </c>
      <c r="L17" s="44"/>
    </row>
    <row r="18" spans="1:12" ht="18" x14ac:dyDescent="0.3">
      <c r="A18" s="52" t="s">
        <v>39</v>
      </c>
      <c r="B18" s="24">
        <f>VLOOKUP($G$2,Adatok!$A$2:$K$66,11,0)</f>
        <v>0</v>
      </c>
      <c r="C18" s="24">
        <f>VLOOKUP($G$2,Adatok!$A$2:$L$66,12,0)</f>
        <v>0</v>
      </c>
      <c r="I18" s="21">
        <f>VLOOKUP($G$14,Adatok!$A$2:$K$66,11,0)</f>
        <v>0</v>
      </c>
      <c r="J18" s="21">
        <f>VLOOKUP($G$14,Adatok!$A$2:$L$66,12,0)</f>
        <v>0.25</v>
      </c>
      <c r="K18" s="40" t="s">
        <v>39</v>
      </c>
      <c r="L18" s="44"/>
    </row>
    <row r="19" spans="1:12" ht="18" x14ac:dyDescent="0.3">
      <c r="A19" s="52" t="s">
        <v>40</v>
      </c>
      <c r="B19" s="24">
        <f>VLOOKUP($G$2,Adatok!$A$2:$K$66,9,0)</f>
        <v>0</v>
      </c>
      <c r="C19" s="24">
        <f>VLOOKUP($G$2,Adatok!$A$2:$L$66,10,0)</f>
        <v>0.55555555555555558</v>
      </c>
      <c r="I19" s="21">
        <f>VLOOKUP($G$14,Adatok!$A$2:$K$66,9,0)</f>
        <v>0</v>
      </c>
      <c r="J19" s="21">
        <f>VLOOKUP($G$14,Adatok!$A$2:$L$66,10,0)</f>
        <v>0.29411764705882354</v>
      </c>
      <c r="K19" s="40" t="s">
        <v>40</v>
      </c>
      <c r="L19" s="44"/>
    </row>
    <row r="20" spans="1:12" ht="34.200000000000003" customHeight="1" x14ac:dyDescent="0.3">
      <c r="A20" s="57" t="s">
        <v>66</v>
      </c>
      <c r="B20" s="23" t="str">
        <f>IF(B2&lt;8,"Lent",IF(B2&lt;9,"Középen","Fent"))</f>
        <v>Fent</v>
      </c>
      <c r="C20" s="23" t="str">
        <f>IF(C2&lt;8,"Lent",IF(C2&lt;9,"Középen","Fent"))</f>
        <v>Lent</v>
      </c>
      <c r="I20" s="23" t="str">
        <f>IF(B14&lt;8,"Lent",IF(B14&lt;9,"Középen","Fent"))</f>
        <v>Fent</v>
      </c>
      <c r="J20" s="23" t="str">
        <f>IF(C14&lt;8,"Lent",IF(C14&lt;9,"Középen","Fent"))</f>
        <v>Lent</v>
      </c>
      <c r="K20" s="58"/>
      <c r="L20" s="59"/>
    </row>
    <row r="21" spans="1:12" x14ac:dyDescent="0.3">
      <c r="A21" s="81" t="s">
        <v>56</v>
      </c>
      <c r="B21" s="81"/>
      <c r="C21" s="81"/>
      <c r="I21" s="81" t="s">
        <v>56</v>
      </c>
      <c r="J21" s="81"/>
      <c r="K21" s="81"/>
    </row>
  </sheetData>
  <sheetProtection algorithmName="SHA-512" hashValue="YM0Eqj419YLcXkJjQFvXNXCYspivLW5IGAFm59JbNJmkAHStoh0UnKmg8+f5+W+jN4AXhfxM31D+DTd1UACkMQ==" saltValue="dSmnUYRDc2RlEW1q4EnN0A==" spinCount="100000" sheet="1" objects="1" scenarios="1"/>
  <sortState xmlns:xlrd2="http://schemas.microsoft.com/office/spreadsheetml/2017/richdata2" ref="B5:C7">
    <sortCondition descending="1" ref="B5:B7"/>
  </sortState>
  <mergeCells count="3">
    <mergeCell ref="I10:L10"/>
    <mergeCell ref="A21:C21"/>
    <mergeCell ref="I21:K21"/>
  </mergeCells>
  <phoneticPr fontId="6" type="noConversion"/>
  <conditionalFormatting sqref="B2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C2 C3 B3:B14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4:C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C1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9:C19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D3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:E3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:E3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:J1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9:J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type="decimal" operator="lessThanOrEqual" allowBlank="1" showInputMessage="1" showErrorMessage="1" sqref="C2:C4 C14" xr:uid="{C3F4C2A5-99C8-4A77-B129-E3B3D85782F3}">
      <formula1>20</formula1>
    </dataValidation>
  </dataValidations>
  <hyperlinks>
    <hyperlink ref="I10" r:id="rId1" xr:uid="{9C4ADBDC-8B4A-4153-8988-7770AF72C785}"/>
    <hyperlink ref="A21:C21" r:id="rId2" display="Küldd el nekünk is a véleményedet!" xr:uid="{87A829C5-E60C-44B7-AF35-DC970FE04E5A}"/>
    <hyperlink ref="I21:K21" r:id="rId3" display="Küldd el nekünk is a véleményedet!" xr:uid="{B7DBD17D-5D49-470C-9284-D2C5EB6F471B}"/>
  </hyperlinks>
  <pageMargins left="0.7" right="0.7" top="0.75" bottom="0.75" header="0.3" footer="0.3"/>
  <pageSetup paperSize="9" orientation="portrait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6BD8FD-4135-4EAE-9FC3-FF1DE743441D}">
          <x14:formula1>
            <xm:f>Adatok!$A$2:$A$35</xm:f>
          </x14:formula1>
          <xm:sqref>G2 G14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0D4C-2063-4CA9-AF97-C22FE54B6614}">
  <dimension ref="A1:C9"/>
  <sheetViews>
    <sheetView workbookViewId="0">
      <selection sqref="A1:C9"/>
    </sheetView>
  </sheetViews>
  <sheetFormatPr defaultRowHeight="14.4" x14ac:dyDescent="0.3"/>
  <cols>
    <col min="3" max="3" width="31.77734375" bestFit="1" customWidth="1"/>
  </cols>
  <sheetData>
    <row r="1" spans="1:3" ht="23.4" x14ac:dyDescent="0.3">
      <c r="A1" s="3">
        <v>5</v>
      </c>
      <c r="B1" s="3">
        <v>0</v>
      </c>
      <c r="C1" s="3" t="s">
        <v>3</v>
      </c>
    </row>
    <row r="2" spans="1:3" ht="23.4" x14ac:dyDescent="0.3">
      <c r="A2" s="3">
        <v>4</v>
      </c>
      <c r="B2" s="3">
        <v>0.249</v>
      </c>
      <c r="C2" s="3" t="s">
        <v>4</v>
      </c>
    </row>
    <row r="3" spans="1:3" ht="23.4" x14ac:dyDescent="0.3">
      <c r="A3" s="3">
        <v>3</v>
      </c>
      <c r="B3" s="3">
        <v>0.49</v>
      </c>
      <c r="C3" s="3" t="s">
        <v>5</v>
      </c>
    </row>
    <row r="4" spans="1:3" ht="23.4" x14ac:dyDescent="0.3">
      <c r="A4" s="3">
        <v>2</v>
      </c>
      <c r="B4" s="3">
        <v>0.749</v>
      </c>
      <c r="C4" s="3" t="s">
        <v>6</v>
      </c>
    </row>
    <row r="5" spans="1:3" ht="23.4" x14ac:dyDescent="0.45">
      <c r="A5" s="3">
        <v>1</v>
      </c>
      <c r="B5" s="3" t="s">
        <v>13</v>
      </c>
      <c r="C5" s="1" t="s">
        <v>7</v>
      </c>
    </row>
    <row r="6" spans="1:3" ht="23.4" x14ac:dyDescent="0.45">
      <c r="A6" s="3">
        <v>6</v>
      </c>
      <c r="B6" s="4">
        <v>-0.249</v>
      </c>
      <c r="C6" s="1" t="s">
        <v>8</v>
      </c>
    </row>
    <row r="7" spans="1:3" ht="23.4" x14ac:dyDescent="0.45">
      <c r="A7" s="3">
        <v>7</v>
      </c>
      <c r="B7" s="4">
        <v>-0.49</v>
      </c>
      <c r="C7" s="1" t="s">
        <v>9</v>
      </c>
    </row>
    <row r="8" spans="1:3" ht="23.4" x14ac:dyDescent="0.45">
      <c r="A8" s="3">
        <v>8</v>
      </c>
      <c r="B8" s="4">
        <v>-0.749</v>
      </c>
      <c r="C8" s="1" t="s">
        <v>10</v>
      </c>
    </row>
    <row r="9" spans="1:3" ht="23.4" x14ac:dyDescent="0.45">
      <c r="A9" s="3">
        <v>9</v>
      </c>
      <c r="B9" s="4" t="s">
        <v>12</v>
      </c>
      <c r="C9" s="2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4A0C-F1AB-4ED8-9708-EF1E59AEC4FF}">
  <dimension ref="A1:AE35"/>
  <sheetViews>
    <sheetView topLeftCell="P1" zoomScale="126" workbookViewId="0">
      <selection activeCell="AH1" sqref="AH1"/>
    </sheetView>
  </sheetViews>
  <sheetFormatPr defaultRowHeight="14.4" x14ac:dyDescent="0.3"/>
  <cols>
    <col min="5" max="6" width="9.6640625" bestFit="1" customWidth="1"/>
    <col min="9" max="11" width="9.6640625" bestFit="1" customWidth="1"/>
    <col min="13" max="13" width="9.6640625" bestFit="1" customWidth="1"/>
    <col min="14" max="14" width="42.5546875" bestFit="1" customWidth="1"/>
    <col min="15" max="15" width="12" bestFit="1" customWidth="1"/>
    <col min="16" max="17" width="5.5546875" bestFit="1" customWidth="1"/>
    <col min="18" max="18" width="12.33203125" customWidth="1"/>
    <col min="25" max="26" width="8.88671875" style="17"/>
    <col min="28" max="29" width="8.88671875" style="17"/>
  </cols>
  <sheetData>
    <row r="1" spans="1:31" ht="46.8" x14ac:dyDescent="0.3">
      <c r="A1" s="10"/>
      <c r="B1" s="12" t="s">
        <v>45</v>
      </c>
      <c r="C1" s="12" t="s">
        <v>46</v>
      </c>
      <c r="D1" s="13" t="s">
        <v>37</v>
      </c>
      <c r="E1" s="13" t="s">
        <v>43</v>
      </c>
      <c r="F1" s="13" t="s">
        <v>44</v>
      </c>
      <c r="G1" s="13" t="s">
        <v>110</v>
      </c>
      <c r="H1" s="13" t="s">
        <v>111</v>
      </c>
      <c r="I1" s="13" t="s">
        <v>112</v>
      </c>
      <c r="J1" s="13" t="s">
        <v>113</v>
      </c>
      <c r="K1" s="13" t="s">
        <v>63</v>
      </c>
      <c r="L1" s="13" t="s">
        <v>64</v>
      </c>
      <c r="M1" s="13" t="s">
        <v>60</v>
      </c>
      <c r="N1" s="13"/>
      <c r="O1" s="13" t="s">
        <v>76</v>
      </c>
      <c r="P1" s="13" t="s">
        <v>85</v>
      </c>
      <c r="Q1" s="13" t="s">
        <v>86</v>
      </c>
      <c r="R1" t="s">
        <v>61</v>
      </c>
      <c r="S1" t="s">
        <v>120</v>
      </c>
      <c r="T1" t="s">
        <v>121</v>
      </c>
      <c r="U1" t="s">
        <v>62</v>
      </c>
      <c r="V1" t="s">
        <v>118</v>
      </c>
      <c r="W1" t="s">
        <v>119</v>
      </c>
      <c r="X1" t="s">
        <v>93</v>
      </c>
      <c r="Y1" s="17" t="s">
        <v>116</v>
      </c>
      <c r="Z1" s="17" t="s">
        <v>117</v>
      </c>
      <c r="AA1" s="20" t="s">
        <v>94</v>
      </c>
      <c r="AB1" s="64" t="s">
        <v>114</v>
      </c>
      <c r="AC1" s="64" t="s">
        <v>115</v>
      </c>
      <c r="AD1" t="s">
        <v>60</v>
      </c>
    </row>
    <row r="2" spans="1:31" x14ac:dyDescent="0.3">
      <c r="A2" s="11" t="str">
        <f>O2</f>
        <v>DKC5092</v>
      </c>
      <c r="B2" s="18">
        <f>VLOOKUP($A2,$O$2:$Q$35,2,0)</f>
        <v>11.564046892593804</v>
      </c>
      <c r="C2" s="18">
        <f>VLOOKUP($A2,$O$2:$Q$35,3,0)</f>
        <v>6.7983560489853385</v>
      </c>
      <c r="D2" t="s">
        <v>36</v>
      </c>
      <c r="E2" s="17">
        <f>VLOOKUP($A2,$R$2:$T$35,2,0)</f>
        <v>14.575000000000001</v>
      </c>
      <c r="F2" s="17">
        <f>VLOOKUP($A2,$R$2:$T$35,3,0)</f>
        <v>17.425000000000001</v>
      </c>
      <c r="G2" s="17">
        <f t="shared" ref="G2:G35" si="0">VLOOKUP($A2,$U$2:$W$35,2,0)</f>
        <v>67.291666666666671</v>
      </c>
      <c r="H2" s="17">
        <f t="shared" ref="H2:H35" si="1">VLOOKUP($A2,$U$2:$W$35,3,0)</f>
        <v>67.291666666666671</v>
      </c>
      <c r="I2" s="17">
        <f>VLOOKUP($X2,$X$2:$Z$35,2,0)</f>
        <v>0.2808988764044944</v>
      </c>
      <c r="J2" s="17">
        <f>VLOOKUP($X2,$X$2:$Z$35,3,0)</f>
        <v>0.25773195876288657</v>
      </c>
      <c r="K2" s="17">
        <f>VLOOKUP($AA2,$AA$2:$AC$35,2,0)</f>
        <v>0</v>
      </c>
      <c r="L2" s="17">
        <f>VLOOKUP($AA2,$AA$2:$AC$35,3,0)</f>
        <v>0</v>
      </c>
      <c r="M2" s="17" t="str">
        <f>_xlfn.XLOOKUP($A2,$AD$2:$AD$17,$AE$2:$AE$17)</f>
        <v>1./13/8,12 kilengő</v>
      </c>
      <c r="N2" s="17" t="e">
        <f>VLOOKUP($A2,#REF!,3,0)</f>
        <v>#REF!</v>
      </c>
      <c r="O2" t="s">
        <v>47</v>
      </c>
      <c r="P2">
        <v>11.564046892593804</v>
      </c>
      <c r="Q2">
        <v>6.7983560489853385</v>
      </c>
      <c r="R2" t="s">
        <v>47</v>
      </c>
      <c r="S2" s="62">
        <f>+_xlfn.XLOOKUP($R2,'[2]szemnedvesség FAO300'!$B$5:$B$20,'[2]szemnedvesség FAO300'!$C$5:$C$20)</f>
        <v>14.575000000000001</v>
      </c>
      <c r="T2" s="62">
        <f>+_xlfn.XLOOKUP($R2,'[2]szemnedvesség FAO300'!$B$5:$B$20,'[2]szemnedvesség FAO300'!$M$5:$M$20)</f>
        <v>17.425000000000001</v>
      </c>
      <c r="U2" t="s">
        <v>47</v>
      </c>
      <c r="V2" s="63">
        <f>_xlfn.XLOOKUP(U2,'[2]50% virágzás FAO300 '!$B$5:$B$20,'[2]50% virágzás FAO300 '!$I$5:$I$20)</f>
        <v>67.291666666666671</v>
      </c>
      <c r="W2" s="63">
        <v>67.291666666666671</v>
      </c>
      <c r="X2" t="s">
        <v>47</v>
      </c>
      <c r="Y2" s="17">
        <f>_xlfn.XLOOKUP(X2,'[2]cső alatt letört tő FAO300 '!$B$5:$B$20,'[2]cső alatt letört tő FAO300 '!$M$5:$M$20)</f>
        <v>0.2808988764044944</v>
      </c>
      <c r="Z2" s="17">
        <f>_xlfn.XLOOKUP(X2,'[2]cső alatt letört tő FAO300 '!$B$5:$B$20,'[2]cső alatt letört tő FAO300 '!$C$5:$C$20)</f>
        <v>0.25773195876288657</v>
      </c>
      <c r="AA2" t="s">
        <v>47</v>
      </c>
      <c r="AB2" s="17">
        <f>_xlfn.XLOOKUP(AA2,'[2]megdőlt tő FAO300 '!$B$5:$B$20,'[2]megdőlt tő FAO300 '!$M$5:$M$20)</f>
        <v>0</v>
      </c>
      <c r="AC2" s="17">
        <f>_xlfn.XLOOKUP(AA2,'[2]megdőlt tő FAO300 '!$B$5:$B$20,'[2]megdőlt tő FAO300 '!$C$5:$C$20)</f>
        <v>0</v>
      </c>
      <c r="AD2" t="s">
        <v>47</v>
      </c>
      <c r="AE2" t="s">
        <v>124</v>
      </c>
    </row>
    <row r="3" spans="1:31" x14ac:dyDescent="0.3">
      <c r="A3" s="11" t="str">
        <f t="shared" ref="A3:A35" si="2">O3</f>
        <v>DKC4533</v>
      </c>
      <c r="B3" s="18">
        <f t="shared" ref="B3:B35" si="3">VLOOKUP($A3,$O$2:$Q$35,2,0)</f>
        <v>11.114221349461625</v>
      </c>
      <c r="C3" s="18">
        <f t="shared" ref="C3:C35" si="4">VLOOKUP($A3,$O$2:$Q$35,3,0)</f>
        <v>6.6788249558730106</v>
      </c>
      <c r="D3" t="s">
        <v>36</v>
      </c>
      <c r="E3" s="17">
        <f t="shared" ref="E3:E8" si="5">VLOOKUP($A3,$R$2:$T$35,2,0)</f>
        <v>13.675000000000001</v>
      </c>
      <c r="F3" s="17">
        <f t="shared" ref="F3:F8" si="6">VLOOKUP($A3,$R$2:$T$35,3,0)</f>
        <v>14.9</v>
      </c>
      <c r="G3" s="17">
        <f t="shared" si="0"/>
        <v>66.208333333333329</v>
      </c>
      <c r="H3" s="17">
        <f t="shared" si="1"/>
        <v>66.208333333333329</v>
      </c>
      <c r="I3" s="17">
        <f t="shared" ref="I3:I17" si="7">VLOOKUP($X3,$X$2:$Z$35,2,0)</f>
        <v>1.2626262626262625</v>
      </c>
      <c r="J3" s="17">
        <f t="shared" ref="J3:J16" si="8">VLOOKUP($X3,$X$2:$Z$35,3,0)</f>
        <v>20.441154048564076</v>
      </c>
      <c r="K3" s="17">
        <f t="shared" ref="K3:K17" si="9">VLOOKUP($AA3,$AA$2:$AC$35,2,0)</f>
        <v>0</v>
      </c>
      <c r="L3" s="17">
        <f t="shared" ref="L3:L17" si="10">VLOOKUP($AA3,$AA$2:$AC$35,3,0)</f>
        <v>0</v>
      </c>
      <c r="M3" s="17" t="str">
        <f t="shared" ref="M3:M16" si="11">_xlfn.XLOOKUP($A3,AD3:AD18,AE3:AE18)</f>
        <v>2./13/8,12 billegő</v>
      </c>
      <c r="N3" s="17" t="e">
        <f>VLOOKUP($A3,#REF!,3,0)</f>
        <v>#REF!</v>
      </c>
      <c r="O3" t="s">
        <v>77</v>
      </c>
      <c r="P3">
        <v>11.114221349461625</v>
      </c>
      <c r="Q3">
        <v>6.6788249558730106</v>
      </c>
      <c r="R3" t="s">
        <v>77</v>
      </c>
      <c r="S3" s="62">
        <f>+_xlfn.XLOOKUP($R3,'[2]szemnedvesség FAO300'!$B$5:$B$20,'[2]szemnedvesség FAO300'!$C$5:$C$20)</f>
        <v>13.675000000000001</v>
      </c>
      <c r="T3" s="62">
        <f>+_xlfn.XLOOKUP($R3,'[2]szemnedvesség FAO300'!$B$5:$B$20,'[2]szemnedvesség FAO300'!$M$5:$M$20)</f>
        <v>14.9</v>
      </c>
      <c r="U3" t="s">
        <v>77</v>
      </c>
      <c r="V3" s="63">
        <f>_xlfn.XLOOKUP(U3,'[2]50% virágzás FAO300 '!$B$5:$B$20,'[2]50% virágzás FAO300 '!$I$5:$I$20)</f>
        <v>66.208333333333329</v>
      </c>
      <c r="W3" s="63">
        <v>66.208333333333329</v>
      </c>
      <c r="X3" t="s">
        <v>77</v>
      </c>
      <c r="Y3" s="17">
        <f>_xlfn.XLOOKUP(X3,'[2]cső alatt letört tő FAO300 '!$B$5:$B$20,'[2]cső alatt letört tő FAO300 '!$M$5:$M$20)</f>
        <v>1.2626262626262625</v>
      </c>
      <c r="Z3" s="17">
        <f>_xlfn.XLOOKUP(X3,'[2]cső alatt letört tő FAO300 '!$B$5:$B$20,'[2]cső alatt letört tő FAO300 '!$C$5:$C$20)</f>
        <v>20.441154048564076</v>
      </c>
      <c r="AA3" t="s">
        <v>77</v>
      </c>
      <c r="AB3" s="17">
        <f>_xlfn.XLOOKUP(AA3,'[2]megdőlt tő FAO300 '!$B$5:$B$20,'[2]megdőlt tő FAO300 '!$M$5:$M$20)</f>
        <v>0</v>
      </c>
      <c r="AC3" s="17">
        <f>_xlfn.XLOOKUP(AA3,'[2]megdőlt tő FAO300 '!$B$5:$B$20,'[2]megdőlt tő FAO300 '!$C$5:$C$20)</f>
        <v>0</v>
      </c>
      <c r="AD3" t="s">
        <v>77</v>
      </c>
      <c r="AE3" t="s">
        <v>125</v>
      </c>
    </row>
    <row r="4" spans="1:31" x14ac:dyDescent="0.3">
      <c r="A4" s="11" t="str">
        <f t="shared" si="2"/>
        <v>KWS LEMONDO</v>
      </c>
      <c r="B4" s="18">
        <f t="shared" si="3"/>
        <v>11.551359912229477</v>
      </c>
      <c r="C4" s="18">
        <f t="shared" si="4"/>
        <v>6.2146306867130674</v>
      </c>
      <c r="D4" t="s">
        <v>36</v>
      </c>
      <c r="E4" s="17">
        <f t="shared" si="5"/>
        <v>14.625</v>
      </c>
      <c r="F4" s="17">
        <f t="shared" si="6"/>
        <v>15.1</v>
      </c>
      <c r="G4" s="17">
        <f t="shared" si="0"/>
        <v>68.791666666666671</v>
      </c>
      <c r="H4" s="17">
        <f t="shared" si="1"/>
        <v>68.791666666666671</v>
      </c>
      <c r="I4" s="17">
        <f t="shared" si="7"/>
        <v>0</v>
      </c>
      <c r="J4" s="17">
        <f t="shared" si="8"/>
        <v>0.55555555555555558</v>
      </c>
      <c r="K4" s="17">
        <f t="shared" si="9"/>
        <v>0</v>
      </c>
      <c r="L4" s="17">
        <f t="shared" si="10"/>
        <v>0</v>
      </c>
      <c r="M4" s="17" t="str">
        <f t="shared" si="11"/>
        <v>3./13/8,12 billegő</v>
      </c>
      <c r="N4" s="17" t="e">
        <f>VLOOKUP($A4,#REF!,3,0)</f>
        <v>#REF!</v>
      </c>
      <c r="O4" t="s">
        <v>87</v>
      </c>
      <c r="P4">
        <v>11.551359912229477</v>
      </c>
      <c r="Q4">
        <v>6.2146306867130674</v>
      </c>
      <c r="R4" t="s">
        <v>87</v>
      </c>
      <c r="S4" s="62">
        <f>+_xlfn.XLOOKUP($R4,'[2]szemnedvesség FAO300'!$B$5:$B$20,'[2]szemnedvesség FAO300'!$C$5:$C$20)</f>
        <v>14.625</v>
      </c>
      <c r="T4" s="62">
        <f>+_xlfn.XLOOKUP($R4,'[2]szemnedvesség FAO300'!$B$5:$B$20,'[2]szemnedvesség FAO300'!$M$5:$M$20)</f>
        <v>15.1</v>
      </c>
      <c r="U4" t="s">
        <v>87</v>
      </c>
      <c r="V4" s="63">
        <f>_xlfn.XLOOKUP(U4,'[2]50% virágzás FAO300 '!$B$5:$B$20,'[2]50% virágzás FAO300 '!$I$5:$I$20)</f>
        <v>68.791666666666671</v>
      </c>
      <c r="W4" s="63">
        <v>68.791666666666671</v>
      </c>
      <c r="X4" t="s">
        <v>87</v>
      </c>
      <c r="Y4" s="17">
        <f>_xlfn.XLOOKUP(X4,'[2]cső alatt letört tő FAO300 '!$B$5:$B$20,'[2]cső alatt letört tő FAO300 '!$M$5:$M$20)</f>
        <v>0</v>
      </c>
      <c r="Z4" s="17">
        <f>_xlfn.XLOOKUP(X4,'[2]cső alatt letört tő FAO300 '!$B$5:$B$20,'[2]cső alatt letört tő FAO300 '!$C$5:$C$20)</f>
        <v>0.55555555555555558</v>
      </c>
      <c r="AA4" t="s">
        <v>87</v>
      </c>
      <c r="AB4" s="17">
        <f>_xlfn.XLOOKUP(AA4,'[2]megdőlt tő FAO300 '!$B$5:$B$20,'[2]megdőlt tő FAO300 '!$M$5:$M$20)</f>
        <v>0</v>
      </c>
      <c r="AC4" s="17">
        <f>_xlfn.XLOOKUP(AA4,'[2]megdőlt tő FAO300 '!$B$5:$B$20,'[2]megdőlt tő FAO300 '!$C$5:$C$20)</f>
        <v>0</v>
      </c>
      <c r="AD4" t="s">
        <v>87</v>
      </c>
      <c r="AE4" t="s">
        <v>126</v>
      </c>
    </row>
    <row r="5" spans="1:31" x14ac:dyDescent="0.3">
      <c r="A5" s="11" t="str">
        <f t="shared" si="2"/>
        <v>DKC4897</v>
      </c>
      <c r="B5" s="18">
        <f t="shared" si="3"/>
        <v>11.437291365723858</v>
      </c>
      <c r="C5" s="18">
        <f t="shared" si="4"/>
        <v>6.0755591366003259</v>
      </c>
      <c r="D5" t="s">
        <v>36</v>
      </c>
      <c r="E5" s="17">
        <f t="shared" si="5"/>
        <v>18.200000000000003</v>
      </c>
      <c r="F5" s="17">
        <f t="shared" si="6"/>
        <v>16.675000000000001</v>
      </c>
      <c r="G5" s="17">
        <f t="shared" si="0"/>
        <v>71.541666666666671</v>
      </c>
      <c r="H5" s="17">
        <f t="shared" si="1"/>
        <v>71.541666666666671</v>
      </c>
      <c r="I5" s="17">
        <f t="shared" si="7"/>
        <v>0</v>
      </c>
      <c r="J5" s="17">
        <f t="shared" si="8"/>
        <v>0.84014822386915422</v>
      </c>
      <c r="K5" s="17">
        <f t="shared" si="9"/>
        <v>0</v>
      </c>
      <c r="L5" s="17">
        <f t="shared" si="10"/>
        <v>0</v>
      </c>
      <c r="M5" s="17" t="str">
        <f t="shared" si="11"/>
        <v>4./13/8,12 billegő</v>
      </c>
      <c r="N5" s="17" t="e">
        <f>VLOOKUP($A5,#REF!,3,0)</f>
        <v>#REF!</v>
      </c>
      <c r="O5" t="s">
        <v>57</v>
      </c>
      <c r="P5">
        <v>11.437291365723858</v>
      </c>
      <c r="Q5">
        <v>6.0755591366003259</v>
      </c>
      <c r="R5" t="s">
        <v>57</v>
      </c>
      <c r="S5" s="62">
        <f>+_xlfn.XLOOKUP($R5,'[2]szemnedvesség FAO300'!$B$5:$B$20,'[2]szemnedvesség FAO300'!$C$5:$C$20)</f>
        <v>18.200000000000003</v>
      </c>
      <c r="T5" s="62">
        <f>+_xlfn.XLOOKUP($R5,'[2]szemnedvesség FAO300'!$B$5:$B$20,'[2]szemnedvesség FAO300'!$M$5:$M$20)</f>
        <v>16.675000000000001</v>
      </c>
      <c r="U5" t="s">
        <v>57</v>
      </c>
      <c r="V5" s="63">
        <f>_xlfn.XLOOKUP(U5,'[2]50% virágzás FAO300 '!$B$5:$B$20,'[2]50% virágzás FAO300 '!$I$5:$I$20)</f>
        <v>71.541666666666671</v>
      </c>
      <c r="W5" s="63">
        <v>71.541666666666671</v>
      </c>
      <c r="X5" t="s">
        <v>57</v>
      </c>
      <c r="Y5" s="17">
        <f>_xlfn.XLOOKUP(X5,'[2]cső alatt letört tő FAO300 '!$B$5:$B$20,'[2]cső alatt letört tő FAO300 '!$M$5:$M$20)</f>
        <v>0</v>
      </c>
      <c r="Z5" s="17">
        <f>_xlfn.XLOOKUP(X5,'[2]cső alatt letört tő FAO300 '!$B$5:$B$20,'[2]cső alatt letört tő FAO300 '!$C$5:$C$20)</f>
        <v>0.84014822386915422</v>
      </c>
      <c r="AA5" t="s">
        <v>57</v>
      </c>
      <c r="AB5" s="17">
        <f>_xlfn.XLOOKUP(AA5,'[2]megdőlt tő FAO300 '!$B$5:$B$20,'[2]megdőlt tő FAO300 '!$M$5:$M$20)</f>
        <v>0</v>
      </c>
      <c r="AC5" s="17">
        <f>_xlfn.XLOOKUP(AA5,'[2]megdőlt tő FAO300 '!$B$5:$B$20,'[2]megdőlt tő FAO300 '!$C$5:$C$20)</f>
        <v>0</v>
      </c>
      <c r="AD5" t="s">
        <v>57</v>
      </c>
      <c r="AE5" t="s">
        <v>127</v>
      </c>
    </row>
    <row r="6" spans="1:31" x14ac:dyDescent="0.3">
      <c r="A6" s="11" t="str">
        <f t="shared" si="2"/>
        <v>KWS OLTENIO</v>
      </c>
      <c r="B6" s="18">
        <f t="shared" si="3"/>
        <v>11.079233735583852</v>
      </c>
      <c r="C6" s="18">
        <f t="shared" si="4"/>
        <v>6.4356371465639217</v>
      </c>
      <c r="D6" t="s">
        <v>36</v>
      </c>
      <c r="E6" s="17">
        <f t="shared" si="5"/>
        <v>14.45</v>
      </c>
      <c r="F6" s="17">
        <f t="shared" si="6"/>
        <v>15.05</v>
      </c>
      <c r="G6" s="17">
        <f t="shared" si="0"/>
        <v>67.125</v>
      </c>
      <c r="H6" s="17">
        <f t="shared" si="1"/>
        <v>67.125</v>
      </c>
      <c r="I6" s="17">
        <f t="shared" si="7"/>
        <v>0</v>
      </c>
      <c r="J6" s="17">
        <f t="shared" si="8"/>
        <v>18.211580086580089</v>
      </c>
      <c r="K6" s="17">
        <f t="shared" si="9"/>
        <v>0</v>
      </c>
      <c r="L6" s="17">
        <f t="shared" si="10"/>
        <v>0</v>
      </c>
      <c r="M6" s="17" t="str">
        <f t="shared" si="11"/>
        <v>5./13/8,12 billegő</v>
      </c>
      <c r="N6" s="17" t="e">
        <f>VLOOKUP($A6,#REF!,3,0)</f>
        <v>#REF!</v>
      </c>
      <c r="O6" t="s">
        <v>88</v>
      </c>
      <c r="P6">
        <v>11.079233735583852</v>
      </c>
      <c r="Q6">
        <v>6.4356371465639217</v>
      </c>
      <c r="R6" t="s">
        <v>88</v>
      </c>
      <c r="S6" s="62">
        <f>+_xlfn.XLOOKUP($R6,'[2]szemnedvesség FAO300'!$B$5:$B$20,'[2]szemnedvesség FAO300'!$C$5:$C$20)</f>
        <v>14.45</v>
      </c>
      <c r="T6" s="62">
        <f>+_xlfn.XLOOKUP($R6,'[2]szemnedvesség FAO300'!$B$5:$B$20,'[2]szemnedvesség FAO300'!$M$5:$M$20)</f>
        <v>15.05</v>
      </c>
      <c r="U6" t="s">
        <v>88</v>
      </c>
      <c r="V6" s="63">
        <f>_xlfn.XLOOKUP(U6,'[2]50% virágzás FAO300 '!$B$5:$B$20,'[2]50% virágzás FAO300 '!$I$5:$I$20)</f>
        <v>67.125</v>
      </c>
      <c r="W6" s="63">
        <v>67.125</v>
      </c>
      <c r="X6" t="s">
        <v>88</v>
      </c>
      <c r="Y6" s="17">
        <f>_xlfn.XLOOKUP(X6,'[2]cső alatt letört tő FAO300 '!$B$5:$B$20,'[2]cső alatt letört tő FAO300 '!$M$5:$M$20)</f>
        <v>0</v>
      </c>
      <c r="Z6" s="17">
        <f>_xlfn.XLOOKUP(X6,'[2]cső alatt letört tő FAO300 '!$B$5:$B$20,'[2]cső alatt letört tő FAO300 '!$C$5:$C$20)</f>
        <v>18.211580086580089</v>
      </c>
      <c r="AA6" t="s">
        <v>88</v>
      </c>
      <c r="AB6" s="17">
        <f>_xlfn.XLOOKUP(AA6,'[2]megdőlt tő FAO300 '!$B$5:$B$20,'[2]megdőlt tő FAO300 '!$M$5:$M$20)</f>
        <v>0</v>
      </c>
      <c r="AC6" s="17">
        <f>_xlfn.XLOOKUP(AA6,'[2]megdőlt tő FAO300 '!$B$5:$B$20,'[2]megdőlt tő FAO300 '!$C$5:$C$20)</f>
        <v>0</v>
      </c>
      <c r="AD6" t="s">
        <v>88</v>
      </c>
      <c r="AE6" t="s">
        <v>128</v>
      </c>
    </row>
    <row r="7" spans="1:31" x14ac:dyDescent="0.3">
      <c r="A7" s="11" t="str">
        <f t="shared" si="2"/>
        <v>P92841</v>
      </c>
      <c r="B7" s="18">
        <f t="shared" si="3"/>
        <v>10.98818555178824</v>
      </c>
      <c r="C7" s="18">
        <f t="shared" si="4"/>
        <v>6.3269506152272186</v>
      </c>
      <c r="D7" t="s">
        <v>36</v>
      </c>
      <c r="E7" s="17">
        <f t="shared" si="5"/>
        <v>14.2</v>
      </c>
      <c r="F7" s="17">
        <f t="shared" si="6"/>
        <v>16</v>
      </c>
      <c r="G7" s="17">
        <f t="shared" si="0"/>
        <v>68.25</v>
      </c>
      <c r="H7" s="17">
        <f t="shared" si="1"/>
        <v>68.25</v>
      </c>
      <c r="I7" s="17">
        <f t="shared" si="7"/>
        <v>0.50505050505050508</v>
      </c>
      <c r="J7" s="17">
        <f t="shared" si="8"/>
        <v>3.188172043010753</v>
      </c>
      <c r="K7" s="17">
        <f t="shared" si="9"/>
        <v>0.25252525252525254</v>
      </c>
      <c r="L7" s="17">
        <f t="shared" si="10"/>
        <v>0</v>
      </c>
      <c r="M7" s="17" t="str">
        <f t="shared" si="11"/>
        <v>6./13/8,12 billegő</v>
      </c>
      <c r="N7" s="17" t="e">
        <f>VLOOKUP($A7,#REF!,3,0)</f>
        <v>#REF!</v>
      </c>
      <c r="O7" t="s">
        <v>78</v>
      </c>
      <c r="P7">
        <v>10.98818555178824</v>
      </c>
      <c r="Q7">
        <v>6.3269506152272186</v>
      </c>
      <c r="R7" t="s">
        <v>78</v>
      </c>
      <c r="S7" s="62">
        <f>+_xlfn.XLOOKUP($R7,'[2]szemnedvesség FAO300'!$B$5:$B$20,'[2]szemnedvesség FAO300'!$C$5:$C$20)</f>
        <v>14.2</v>
      </c>
      <c r="T7" s="62">
        <f>+_xlfn.XLOOKUP($R7,'[2]szemnedvesség FAO300'!$B$5:$B$20,'[2]szemnedvesség FAO300'!$M$5:$M$20)</f>
        <v>16</v>
      </c>
      <c r="U7" t="s">
        <v>78</v>
      </c>
      <c r="V7" s="63">
        <f>_xlfn.XLOOKUP(U7,'[2]50% virágzás FAO300 '!$B$5:$B$20,'[2]50% virágzás FAO300 '!$I$5:$I$20)</f>
        <v>68.25</v>
      </c>
      <c r="W7" s="63">
        <v>68.25</v>
      </c>
      <c r="X7" t="s">
        <v>78</v>
      </c>
      <c r="Y7" s="17">
        <f>_xlfn.XLOOKUP(X7,'[2]cső alatt letört tő FAO300 '!$B$5:$B$20,'[2]cső alatt letört tő FAO300 '!$M$5:$M$20)</f>
        <v>0.50505050505050508</v>
      </c>
      <c r="Z7" s="17">
        <f>_xlfn.XLOOKUP(X7,'[2]cső alatt letört tő FAO300 '!$B$5:$B$20,'[2]cső alatt letört tő FAO300 '!$C$5:$C$20)</f>
        <v>3.188172043010753</v>
      </c>
      <c r="AA7" t="s">
        <v>78</v>
      </c>
      <c r="AB7" s="17">
        <f>_xlfn.XLOOKUP(AA7,'[2]megdőlt tő FAO300 '!$B$5:$B$20,'[2]megdőlt tő FAO300 '!$M$5:$M$20)</f>
        <v>0.25252525252525254</v>
      </c>
      <c r="AC7" s="17">
        <f>_xlfn.XLOOKUP(AA7,'[2]megdőlt tő FAO300 '!$B$5:$B$20,'[2]megdőlt tő FAO300 '!$C$5:$C$20)</f>
        <v>0</v>
      </c>
      <c r="AD7" t="s">
        <v>78</v>
      </c>
      <c r="AE7" t="s">
        <v>129</v>
      </c>
    </row>
    <row r="8" spans="1:31" x14ac:dyDescent="0.3">
      <c r="A8" s="11" t="str">
        <f t="shared" si="2"/>
        <v>LID4320C</v>
      </c>
      <c r="B8" s="18">
        <f t="shared" si="3"/>
        <v>11.070873535101221</v>
      </c>
      <c r="C8" s="18">
        <f t="shared" si="4"/>
        <v>5.9238534359529762</v>
      </c>
      <c r="D8" t="s">
        <v>36</v>
      </c>
      <c r="E8" s="17">
        <f t="shared" si="5"/>
        <v>13.725</v>
      </c>
      <c r="F8" s="17">
        <f t="shared" si="6"/>
        <v>16.774999999999999</v>
      </c>
      <c r="G8" s="17">
        <f t="shared" si="0"/>
        <v>70.083333333333329</v>
      </c>
      <c r="H8" s="17">
        <f t="shared" si="1"/>
        <v>70.083333333333329</v>
      </c>
      <c r="I8" s="17">
        <f t="shared" si="7"/>
        <v>0</v>
      </c>
      <c r="J8" s="17">
        <f t="shared" si="8"/>
        <v>0.5494505494505495</v>
      </c>
      <c r="K8" s="17">
        <f t="shared" si="9"/>
        <v>0</v>
      </c>
      <c r="L8" s="17">
        <f t="shared" si="10"/>
        <v>0</v>
      </c>
      <c r="M8" s="17" t="str">
        <f t="shared" si="11"/>
        <v>7./13/8,12 billegő</v>
      </c>
      <c r="N8" s="17" t="e">
        <f>VLOOKUP($A8,#REF!,3,0)</f>
        <v>#REF!</v>
      </c>
      <c r="O8" t="s">
        <v>79</v>
      </c>
      <c r="P8">
        <v>11.070873535101221</v>
      </c>
      <c r="Q8">
        <v>5.9238534359529762</v>
      </c>
      <c r="R8" t="s">
        <v>79</v>
      </c>
      <c r="S8" s="62">
        <f>+_xlfn.XLOOKUP($R8,'[2]szemnedvesség FAO300'!$B$5:$B$20,'[2]szemnedvesség FAO300'!$C$5:$C$20)</f>
        <v>13.725</v>
      </c>
      <c r="T8" s="62">
        <f>+_xlfn.XLOOKUP($R8,'[2]szemnedvesség FAO300'!$B$5:$B$20,'[2]szemnedvesség FAO300'!$M$5:$M$20)</f>
        <v>16.774999999999999</v>
      </c>
      <c r="U8" t="s">
        <v>79</v>
      </c>
      <c r="V8" s="63">
        <f>_xlfn.XLOOKUP(U8,'[2]50% virágzás FAO300 '!$B$5:$B$20,'[2]50% virágzás FAO300 '!$I$5:$I$20)</f>
        <v>70.083333333333329</v>
      </c>
      <c r="W8" s="63">
        <v>70.083333333333329</v>
      </c>
      <c r="X8" t="s">
        <v>79</v>
      </c>
      <c r="Y8" s="17">
        <f>_xlfn.XLOOKUP(X8,'[2]cső alatt letört tő FAO300 '!$B$5:$B$20,'[2]cső alatt letört tő FAO300 '!$M$5:$M$20)</f>
        <v>0</v>
      </c>
      <c r="Z8" s="17">
        <f>_xlfn.XLOOKUP(X8,'[2]cső alatt letört tő FAO300 '!$B$5:$B$20,'[2]cső alatt letört tő FAO300 '!$C$5:$C$20)</f>
        <v>0.5494505494505495</v>
      </c>
      <c r="AA8" t="s">
        <v>79</v>
      </c>
      <c r="AB8" s="17">
        <f>_xlfn.XLOOKUP(AA8,'[2]megdőlt tő FAO300 '!$B$5:$B$20,'[2]megdőlt tő FAO300 '!$M$5:$M$20)</f>
        <v>0</v>
      </c>
      <c r="AC8" s="17">
        <f>_xlfn.XLOOKUP(AA8,'[2]megdőlt tő FAO300 '!$B$5:$B$20,'[2]megdőlt tő FAO300 '!$C$5:$C$20)</f>
        <v>0</v>
      </c>
      <c r="AD8" t="s">
        <v>79</v>
      </c>
      <c r="AE8" t="s">
        <v>130</v>
      </c>
    </row>
    <row r="9" spans="1:31" x14ac:dyDescent="0.3">
      <c r="A9" s="11" t="str">
        <f t="shared" si="2"/>
        <v>KWS HYPOLITO</v>
      </c>
      <c r="B9" s="18">
        <f t="shared" si="3"/>
        <v>11.338492878424228</v>
      </c>
      <c r="C9" s="18">
        <f t="shared" si="4"/>
        <v>5.662950203453633</v>
      </c>
      <c r="D9" t="s">
        <v>36</v>
      </c>
      <c r="E9" s="17">
        <f t="shared" ref="E9:E35" si="12">VLOOKUP($A9,$R$2:$T$35,2,0)</f>
        <v>15.025</v>
      </c>
      <c r="F9" s="17">
        <f t="shared" ref="F9:F35" si="13">VLOOKUP($A9,$R$2:$T$35,3,0)</f>
        <v>14.85</v>
      </c>
      <c r="G9" s="17">
        <f t="shared" si="0"/>
        <v>71.416666666666671</v>
      </c>
      <c r="H9" s="17">
        <f t="shared" si="1"/>
        <v>71.416666666666671</v>
      </c>
      <c r="I9" s="17">
        <f t="shared" si="7"/>
        <v>0</v>
      </c>
      <c r="J9" s="17">
        <f t="shared" si="8"/>
        <v>0.26041666666666663</v>
      </c>
      <c r="K9" s="17">
        <f t="shared" si="9"/>
        <v>0</v>
      </c>
      <c r="L9" s="17">
        <f t="shared" si="10"/>
        <v>0</v>
      </c>
      <c r="M9" s="17" t="str">
        <f t="shared" si="11"/>
        <v>8./13/8,12 kilengő</v>
      </c>
      <c r="N9" s="17" t="e">
        <f>VLOOKUP($A9,#REF!,3,0)</f>
        <v>#REF!</v>
      </c>
      <c r="O9" t="s">
        <v>80</v>
      </c>
      <c r="P9">
        <v>11.338492878424228</v>
      </c>
      <c r="Q9">
        <v>5.662950203453633</v>
      </c>
      <c r="R9" t="s">
        <v>80</v>
      </c>
      <c r="S9" s="62">
        <f>+_xlfn.XLOOKUP($R9,'[2]szemnedvesség FAO300'!$B$5:$B$20,'[2]szemnedvesség FAO300'!$C$5:$C$20)</f>
        <v>15.025</v>
      </c>
      <c r="T9" s="62">
        <f>+_xlfn.XLOOKUP($R9,'[2]szemnedvesség FAO300'!$B$5:$B$20,'[2]szemnedvesség FAO300'!$M$5:$M$20)</f>
        <v>14.85</v>
      </c>
      <c r="U9" t="s">
        <v>80</v>
      </c>
      <c r="V9" s="63">
        <f>_xlfn.XLOOKUP(U9,'[2]50% virágzás FAO300 '!$B$5:$B$20,'[2]50% virágzás FAO300 '!$I$5:$I$20)</f>
        <v>71.416666666666671</v>
      </c>
      <c r="W9" s="63">
        <v>71.416666666666671</v>
      </c>
      <c r="X9" t="s">
        <v>80</v>
      </c>
      <c r="Y9" s="17">
        <f>_xlfn.XLOOKUP(X9,'[2]cső alatt letört tő FAO300 '!$B$5:$B$20,'[2]cső alatt letört tő FAO300 '!$M$5:$M$20)</f>
        <v>0</v>
      </c>
      <c r="Z9" s="17">
        <f>_xlfn.XLOOKUP(X9,'[2]cső alatt letört tő FAO300 '!$B$5:$B$20,'[2]cső alatt letört tő FAO300 '!$C$5:$C$20)</f>
        <v>0.26041666666666663</v>
      </c>
      <c r="AA9" t="s">
        <v>80</v>
      </c>
      <c r="AB9" s="17">
        <f>_xlfn.XLOOKUP(AA9,'[2]megdőlt tő FAO300 '!$B$5:$B$20,'[2]megdőlt tő FAO300 '!$M$5:$M$20)</f>
        <v>0</v>
      </c>
      <c r="AC9" s="17">
        <f>_xlfn.XLOOKUP(AA9,'[2]megdőlt tő FAO300 '!$B$5:$B$20,'[2]megdőlt tő FAO300 '!$C$5:$C$20)</f>
        <v>0</v>
      </c>
      <c r="AD9" t="s">
        <v>80</v>
      </c>
      <c r="AE9" t="s">
        <v>131</v>
      </c>
    </row>
    <row r="10" spans="1:31" x14ac:dyDescent="0.3">
      <c r="A10" s="11" t="str">
        <f t="shared" si="2"/>
        <v>FOXTRAIL</v>
      </c>
      <c r="B10" s="18">
        <f t="shared" si="3"/>
        <v>10.870092040767098</v>
      </c>
      <c r="C10" s="18">
        <f t="shared" si="4"/>
        <v>5.8766361043820989</v>
      </c>
      <c r="D10" t="s">
        <v>36</v>
      </c>
      <c r="E10" s="17">
        <f t="shared" si="12"/>
        <v>15.025</v>
      </c>
      <c r="F10" s="17">
        <f t="shared" si="13"/>
        <v>15.5</v>
      </c>
      <c r="G10" s="17">
        <f t="shared" si="0"/>
        <v>68.416666666666671</v>
      </c>
      <c r="H10" s="17">
        <f t="shared" si="1"/>
        <v>68.416666666666671</v>
      </c>
      <c r="I10" s="17">
        <f t="shared" si="7"/>
        <v>0</v>
      </c>
      <c r="J10" s="17">
        <f t="shared" si="8"/>
        <v>7.2676651305683553</v>
      </c>
      <c r="K10" s="17">
        <f t="shared" si="9"/>
        <v>0</v>
      </c>
      <c r="L10" s="17">
        <f t="shared" si="10"/>
        <v>0</v>
      </c>
      <c r="M10" s="17" t="str">
        <f t="shared" si="11"/>
        <v>9./13/8,12 kilengő</v>
      </c>
      <c r="N10" s="17" t="e">
        <f>VLOOKUP($A10,#REF!,3,0)</f>
        <v>#REF!</v>
      </c>
      <c r="O10" t="s">
        <v>81</v>
      </c>
      <c r="P10">
        <v>10.870092040767098</v>
      </c>
      <c r="Q10">
        <v>5.8766361043820989</v>
      </c>
      <c r="R10" t="s">
        <v>81</v>
      </c>
      <c r="S10" s="62">
        <f>+_xlfn.XLOOKUP($R10,'[2]szemnedvesség FAO300'!$B$5:$B$20,'[2]szemnedvesség FAO300'!$C$5:$C$20)</f>
        <v>15.025</v>
      </c>
      <c r="T10" s="62">
        <f>+_xlfn.XLOOKUP($R10,'[2]szemnedvesség FAO300'!$B$5:$B$20,'[2]szemnedvesség FAO300'!$M$5:$M$20)</f>
        <v>15.5</v>
      </c>
      <c r="U10" t="s">
        <v>81</v>
      </c>
      <c r="V10" s="63">
        <f>_xlfn.XLOOKUP(U10,'[2]50% virágzás FAO300 '!$B$5:$B$20,'[2]50% virágzás FAO300 '!$I$5:$I$20)</f>
        <v>68.416666666666671</v>
      </c>
      <c r="W10" s="63">
        <v>68.416666666666671</v>
      </c>
      <c r="X10" t="s">
        <v>81</v>
      </c>
      <c r="Y10" s="17">
        <f>_xlfn.XLOOKUP(X10,'[2]cső alatt letört tő FAO300 '!$B$5:$B$20,'[2]cső alatt letört tő FAO300 '!$M$5:$M$20)</f>
        <v>0</v>
      </c>
      <c r="Z10" s="17">
        <f>_xlfn.XLOOKUP(X10,'[2]cső alatt letört tő FAO300 '!$B$5:$B$20,'[2]cső alatt letört tő FAO300 '!$C$5:$C$20)</f>
        <v>7.2676651305683553</v>
      </c>
      <c r="AA10" t="s">
        <v>81</v>
      </c>
      <c r="AB10" s="17">
        <f>_xlfn.XLOOKUP(AA10,'[2]megdőlt tő FAO300 '!$B$5:$B$20,'[2]megdőlt tő FAO300 '!$M$5:$M$20)</f>
        <v>0</v>
      </c>
      <c r="AC10" s="17">
        <f>_xlfn.XLOOKUP(AA10,'[2]megdőlt tő FAO300 '!$B$5:$B$20,'[2]megdőlt tő FAO300 '!$C$5:$C$20)</f>
        <v>0</v>
      </c>
      <c r="AD10" t="s">
        <v>81</v>
      </c>
      <c r="AE10" t="s">
        <v>132</v>
      </c>
    </row>
    <row r="11" spans="1:31" x14ac:dyDescent="0.3">
      <c r="A11" s="11" t="str">
        <f t="shared" si="2"/>
        <v>SY Solandri</v>
      </c>
      <c r="B11" s="18">
        <f t="shared" si="3"/>
        <v>10.44953917215931</v>
      </c>
      <c r="C11" s="18">
        <f t="shared" si="4"/>
        <v>6.2187595754529408</v>
      </c>
      <c r="D11" t="s">
        <v>36</v>
      </c>
      <c r="E11" s="17">
        <f t="shared" si="12"/>
        <v>14.25</v>
      </c>
      <c r="F11" s="17">
        <f t="shared" si="13"/>
        <v>15.600000000000001</v>
      </c>
      <c r="G11" s="17">
        <f t="shared" si="0"/>
        <v>71.25</v>
      </c>
      <c r="H11" s="17">
        <f t="shared" si="1"/>
        <v>71.25</v>
      </c>
      <c r="I11" s="17">
        <f t="shared" si="7"/>
        <v>0</v>
      </c>
      <c r="J11" s="17">
        <f t="shared" si="8"/>
        <v>0</v>
      </c>
      <c r="K11" s="17">
        <f t="shared" si="9"/>
        <v>0</v>
      </c>
      <c r="L11" s="17">
        <f t="shared" si="10"/>
        <v>0</v>
      </c>
      <c r="M11" s="17" t="str">
        <f t="shared" si="11"/>
        <v>10./13/8,12 Kérdezz!</v>
      </c>
      <c r="N11" s="17" t="e">
        <f>VLOOKUP($A11,#REF!,3,0)</f>
        <v>#REF!</v>
      </c>
      <c r="O11" t="s">
        <v>82</v>
      </c>
      <c r="P11">
        <v>10.44953917215931</v>
      </c>
      <c r="Q11">
        <v>6.2187595754529408</v>
      </c>
      <c r="R11" t="s">
        <v>82</v>
      </c>
      <c r="S11" s="62">
        <f>+_xlfn.XLOOKUP($R11,'[2]szemnedvesség FAO300'!$B$5:$B$20,'[2]szemnedvesség FAO300'!$C$5:$C$20)</f>
        <v>14.25</v>
      </c>
      <c r="T11" s="62">
        <f>+_xlfn.XLOOKUP($R11,'[2]szemnedvesség FAO300'!$B$5:$B$20,'[2]szemnedvesség FAO300'!$M$5:$M$20)</f>
        <v>15.600000000000001</v>
      </c>
      <c r="U11" t="s">
        <v>82</v>
      </c>
      <c r="V11" s="63">
        <f>_xlfn.XLOOKUP(U11,'[2]50% virágzás FAO300 '!$B$5:$B$20,'[2]50% virágzás FAO300 '!$I$5:$I$20)</f>
        <v>71.25</v>
      </c>
      <c r="W11" s="63">
        <v>71.25</v>
      </c>
      <c r="X11" t="s">
        <v>82</v>
      </c>
      <c r="Y11" s="17">
        <f>_xlfn.XLOOKUP(X11,'[2]cső alatt letört tő FAO300 '!$B$5:$B$20,'[2]cső alatt letört tő FAO300 '!$M$5:$M$20)</f>
        <v>0</v>
      </c>
      <c r="Z11" s="17">
        <f>_xlfn.XLOOKUP(X11,'[2]cső alatt letört tő FAO300 '!$B$5:$B$20,'[2]cső alatt letört tő FAO300 '!$C$5:$C$20)</f>
        <v>0</v>
      </c>
      <c r="AA11" t="s">
        <v>82</v>
      </c>
      <c r="AB11" s="17">
        <f>_xlfn.XLOOKUP(AA11,'[2]megdőlt tő FAO300 '!$B$5:$B$20,'[2]megdőlt tő FAO300 '!$M$5:$M$20)</f>
        <v>0</v>
      </c>
      <c r="AC11" s="17">
        <f>_xlfn.XLOOKUP(AA11,'[2]megdőlt tő FAO300 '!$B$5:$B$20,'[2]megdőlt tő FAO300 '!$C$5:$C$20)</f>
        <v>0</v>
      </c>
      <c r="AD11" t="s">
        <v>82</v>
      </c>
      <c r="AE11" t="s">
        <v>133</v>
      </c>
    </row>
    <row r="12" spans="1:31" x14ac:dyDescent="0.3">
      <c r="A12" s="11" t="str">
        <f t="shared" si="2"/>
        <v>P9944</v>
      </c>
      <c r="B12" s="18">
        <f t="shared" si="3"/>
        <v>11.087196974226723</v>
      </c>
      <c r="C12" s="18">
        <f t="shared" si="4"/>
        <v>5.5240013786323878</v>
      </c>
      <c r="D12" t="s">
        <v>36</v>
      </c>
      <c r="E12" s="17">
        <f t="shared" si="12"/>
        <v>14.149999999999999</v>
      </c>
      <c r="F12" s="17">
        <f t="shared" si="13"/>
        <v>15.25</v>
      </c>
      <c r="G12" s="17">
        <f t="shared" si="0"/>
        <v>71.541666666666671</v>
      </c>
      <c r="H12" s="17">
        <f t="shared" si="1"/>
        <v>71.541666666666671</v>
      </c>
      <c r="I12" s="17">
        <f t="shared" si="7"/>
        <v>0</v>
      </c>
      <c r="J12" s="17">
        <f t="shared" si="8"/>
        <v>0.89285714285714279</v>
      </c>
      <c r="K12" s="17">
        <f t="shared" si="9"/>
        <v>0</v>
      </c>
      <c r="L12" s="17">
        <f t="shared" si="10"/>
        <v>0</v>
      </c>
      <c r="M12" s="17" t="str">
        <f t="shared" si="11"/>
        <v>11./13/8,12 kilengő</v>
      </c>
      <c r="N12" s="17" t="e">
        <f>VLOOKUP($A12,#REF!,3,0)</f>
        <v>#REF!</v>
      </c>
      <c r="O12" t="s">
        <v>83</v>
      </c>
      <c r="P12">
        <v>11.087196974226723</v>
      </c>
      <c r="Q12">
        <v>5.5240013786323878</v>
      </c>
      <c r="R12" t="s">
        <v>83</v>
      </c>
      <c r="S12" s="62">
        <f>+_xlfn.XLOOKUP($R12,'[2]szemnedvesség FAO300'!$B$5:$B$20,'[2]szemnedvesség FAO300'!$C$5:$C$20)</f>
        <v>14.149999999999999</v>
      </c>
      <c r="T12" s="62">
        <f>+_xlfn.XLOOKUP($R12,'[2]szemnedvesség FAO300'!$B$5:$B$20,'[2]szemnedvesség FAO300'!$M$5:$M$20)</f>
        <v>15.25</v>
      </c>
      <c r="U12" t="s">
        <v>83</v>
      </c>
      <c r="V12" s="63">
        <f>_xlfn.XLOOKUP(U12,'[2]50% virágzás FAO300 '!$B$5:$B$20,'[2]50% virágzás FAO300 '!$I$5:$I$20)</f>
        <v>71.541666666666671</v>
      </c>
      <c r="W12" s="63">
        <v>71.541666666666671</v>
      </c>
      <c r="X12" t="s">
        <v>83</v>
      </c>
      <c r="Y12" s="17">
        <f>_xlfn.XLOOKUP(X12,'[2]cső alatt letört tő FAO300 '!$B$5:$B$20,'[2]cső alatt letört tő FAO300 '!$M$5:$M$20)</f>
        <v>0</v>
      </c>
      <c r="Z12" s="17">
        <f>_xlfn.XLOOKUP(X12,'[2]cső alatt letört tő FAO300 '!$B$5:$B$20,'[2]cső alatt letört tő FAO300 '!$C$5:$C$20)</f>
        <v>0.89285714285714279</v>
      </c>
      <c r="AA12" t="s">
        <v>83</v>
      </c>
      <c r="AB12" s="17">
        <f>_xlfn.XLOOKUP(AA12,'[2]megdőlt tő FAO300 '!$B$5:$B$20,'[2]megdőlt tő FAO300 '!$M$5:$M$20)</f>
        <v>0</v>
      </c>
      <c r="AC12" s="17">
        <f>_xlfn.XLOOKUP(AA12,'[2]megdőlt tő FAO300 '!$B$5:$B$20,'[2]megdőlt tő FAO300 '!$C$5:$C$20)</f>
        <v>0</v>
      </c>
      <c r="AD12" t="s">
        <v>83</v>
      </c>
      <c r="AE12" t="s">
        <v>134</v>
      </c>
    </row>
    <row r="13" spans="1:31" x14ac:dyDescent="0.3">
      <c r="A13" s="11" t="str">
        <f t="shared" si="2"/>
        <v>DUELING</v>
      </c>
      <c r="B13" s="18">
        <f t="shared" si="3"/>
        <v>10.498949348706214</v>
      </c>
      <c r="C13" s="18">
        <f t="shared" si="4"/>
        <v>5.9411715953763995</v>
      </c>
      <c r="D13" t="s">
        <v>36</v>
      </c>
      <c r="E13" s="17">
        <f t="shared" si="12"/>
        <v>13.75</v>
      </c>
      <c r="F13" s="17">
        <f t="shared" si="13"/>
        <v>15.049999999999999</v>
      </c>
      <c r="G13" s="17">
        <f t="shared" si="0"/>
        <v>66.708333333333329</v>
      </c>
      <c r="H13" s="17">
        <f t="shared" si="1"/>
        <v>66.708333333333329</v>
      </c>
      <c r="I13" s="17">
        <f t="shared" si="7"/>
        <v>0</v>
      </c>
      <c r="J13" s="17">
        <f t="shared" si="8"/>
        <v>3.4478292470879057</v>
      </c>
      <c r="K13" s="17">
        <f t="shared" si="9"/>
        <v>0</v>
      </c>
      <c r="L13" s="17">
        <f t="shared" si="10"/>
        <v>0</v>
      </c>
      <c r="M13" s="17" t="str">
        <f t="shared" si="11"/>
        <v>12./13/8,12 ingadozó</v>
      </c>
      <c r="N13" s="17" t="e">
        <f>VLOOKUP($A13,#REF!,3,0)</f>
        <v>#REF!</v>
      </c>
      <c r="O13" t="s">
        <v>89</v>
      </c>
      <c r="P13">
        <v>10.498949348706214</v>
      </c>
      <c r="Q13">
        <v>5.9411715953763995</v>
      </c>
      <c r="R13" t="s">
        <v>89</v>
      </c>
      <c r="S13" s="62">
        <f>+_xlfn.XLOOKUP($R13,'[2]szemnedvesség FAO300'!$B$5:$B$20,'[2]szemnedvesség FAO300'!$C$5:$C$20)</f>
        <v>13.75</v>
      </c>
      <c r="T13" s="62">
        <f>+_xlfn.XLOOKUP($R13,'[2]szemnedvesség FAO300'!$B$5:$B$20,'[2]szemnedvesség FAO300'!$M$5:$M$20)</f>
        <v>15.049999999999999</v>
      </c>
      <c r="U13" t="s">
        <v>89</v>
      </c>
      <c r="V13" s="63">
        <f>_xlfn.XLOOKUP(U13,'[2]50% virágzás FAO300 '!$B$5:$B$20,'[2]50% virágzás FAO300 '!$I$5:$I$20)</f>
        <v>66.708333333333329</v>
      </c>
      <c r="W13" s="63">
        <v>66.708333333333329</v>
      </c>
      <c r="X13" t="s">
        <v>89</v>
      </c>
      <c r="Y13" s="17">
        <f>_xlfn.XLOOKUP(X13,'[2]cső alatt letört tő FAO300 '!$B$5:$B$20,'[2]cső alatt letört tő FAO300 '!$M$5:$M$20)</f>
        <v>0</v>
      </c>
      <c r="Z13" s="17">
        <f>_xlfn.XLOOKUP(X13,'[2]cső alatt letört tő FAO300 '!$B$5:$B$20,'[2]cső alatt letört tő FAO300 '!$C$5:$C$20)</f>
        <v>3.4478292470879057</v>
      </c>
      <c r="AA13" t="s">
        <v>89</v>
      </c>
      <c r="AB13" s="17">
        <f>_xlfn.XLOOKUP(AA13,'[2]megdőlt tő FAO300 '!$B$5:$B$20,'[2]megdőlt tő FAO300 '!$M$5:$M$20)</f>
        <v>0</v>
      </c>
      <c r="AC13" s="17">
        <f>_xlfn.XLOOKUP(AA13,'[2]megdőlt tő FAO300 '!$B$5:$B$20,'[2]megdőlt tő FAO300 '!$C$5:$C$20)</f>
        <v>0</v>
      </c>
      <c r="AD13" t="s">
        <v>89</v>
      </c>
      <c r="AE13" t="s">
        <v>135</v>
      </c>
    </row>
    <row r="14" spans="1:31" x14ac:dyDescent="0.3">
      <c r="A14" s="11" t="str">
        <f t="shared" si="2"/>
        <v>SY Stacio</v>
      </c>
      <c r="B14" s="18">
        <f t="shared" si="3"/>
        <v>10.479252409172318</v>
      </c>
      <c r="C14" s="18">
        <f t="shared" si="4"/>
        <v>5.2022619955686302</v>
      </c>
      <c r="D14" t="s">
        <v>36</v>
      </c>
      <c r="E14" s="17">
        <f t="shared" si="12"/>
        <v>13.8</v>
      </c>
      <c r="F14" s="17">
        <f t="shared" si="13"/>
        <v>15.024999999999999</v>
      </c>
      <c r="G14" s="17">
        <f t="shared" si="0"/>
        <v>70.75</v>
      </c>
      <c r="H14" s="17">
        <f t="shared" si="1"/>
        <v>70.75</v>
      </c>
      <c r="I14" s="17">
        <f t="shared" si="7"/>
        <v>0</v>
      </c>
      <c r="J14" s="17">
        <f t="shared" si="8"/>
        <v>8.0111877526930506</v>
      </c>
      <c r="K14" s="17">
        <f t="shared" si="9"/>
        <v>0.25773195876288657</v>
      </c>
      <c r="L14" s="17">
        <f t="shared" si="10"/>
        <v>0</v>
      </c>
      <c r="M14" s="17" t="str">
        <f t="shared" si="11"/>
        <v>13./13/8,12 kilengő</v>
      </c>
      <c r="N14" s="17" t="e">
        <f>VLOOKUP($A14,#REF!,3,0)</f>
        <v>#REF!</v>
      </c>
      <c r="O14" t="s">
        <v>84</v>
      </c>
      <c r="P14">
        <v>10.479252409172318</v>
      </c>
      <c r="Q14">
        <v>5.2022619955686302</v>
      </c>
      <c r="R14" t="s">
        <v>84</v>
      </c>
      <c r="S14" s="62">
        <f>+_xlfn.XLOOKUP($R14,'[2]szemnedvesség FAO300'!$B$5:$B$20,'[2]szemnedvesség FAO300'!$C$5:$C$20)</f>
        <v>13.8</v>
      </c>
      <c r="T14" s="62">
        <f>+_xlfn.XLOOKUP($R14,'[2]szemnedvesség FAO300'!$B$5:$B$20,'[2]szemnedvesség FAO300'!$M$5:$M$20)</f>
        <v>15.024999999999999</v>
      </c>
      <c r="U14" t="s">
        <v>84</v>
      </c>
      <c r="V14" s="63">
        <f>_xlfn.XLOOKUP(U14,'[2]50% virágzás FAO300 '!$B$5:$B$20,'[2]50% virágzás FAO300 '!$I$5:$I$20)</f>
        <v>70.75</v>
      </c>
      <c r="W14" s="63">
        <v>70.75</v>
      </c>
      <c r="X14" t="s">
        <v>84</v>
      </c>
      <c r="Y14" s="17">
        <f>_xlfn.XLOOKUP(X14,'[2]cső alatt letört tő FAO300 '!$B$5:$B$20,'[2]cső alatt letört tő FAO300 '!$M$5:$M$20)</f>
        <v>0</v>
      </c>
      <c r="Z14" s="17">
        <f>_xlfn.XLOOKUP(X14,'[2]cső alatt letört tő FAO300 '!$B$5:$B$20,'[2]cső alatt letört tő FAO300 '!$C$5:$C$20)</f>
        <v>8.0111877526930506</v>
      </c>
      <c r="AA14" t="s">
        <v>84</v>
      </c>
      <c r="AB14" s="17">
        <f>_xlfn.XLOOKUP(AA14,'[2]megdőlt tő FAO300 '!$B$5:$B$20,'[2]megdőlt tő FAO300 '!$M$5:$M$20)</f>
        <v>0.25773195876288657</v>
      </c>
      <c r="AC14" s="17">
        <f>_xlfn.XLOOKUP(AA14,'[2]megdőlt tő FAO300 '!$B$5:$B$20,'[2]megdőlt tő FAO300 '!$C$5:$C$20)</f>
        <v>0</v>
      </c>
      <c r="AD14" t="s">
        <v>84</v>
      </c>
      <c r="AE14" t="s">
        <v>136</v>
      </c>
    </row>
    <row r="15" spans="1:31" x14ac:dyDescent="0.3">
      <c r="A15" s="11" t="str">
        <f t="shared" si="2"/>
        <v>Átlag_korai</v>
      </c>
      <c r="B15" s="18">
        <f t="shared" si="3"/>
        <v>10.983070488267526</v>
      </c>
      <c r="C15" s="18">
        <f t="shared" si="4"/>
        <v>6.1985733715252049</v>
      </c>
      <c r="D15" t="s">
        <v>36</v>
      </c>
      <c r="E15" s="17">
        <f t="shared" si="12"/>
        <v>14.573076923076922</v>
      </c>
      <c r="F15" s="17">
        <f t="shared" si="13"/>
        <v>15.63076923076923</v>
      </c>
      <c r="G15" s="17">
        <f t="shared" si="0"/>
        <v>69.182692307692292</v>
      </c>
      <c r="H15" s="17">
        <f t="shared" si="1"/>
        <v>69.182692307692292</v>
      </c>
      <c r="I15" s="17">
        <f t="shared" si="7"/>
        <v>0.15758274185240478</v>
      </c>
      <c r="J15" s="17">
        <f t="shared" si="8"/>
        <v>4.9172114158204758</v>
      </c>
      <c r="K15" s="17">
        <f t="shared" si="9"/>
        <v>3.9250554714472245E-2</v>
      </c>
      <c r="L15" s="17">
        <f t="shared" si="10"/>
        <v>0</v>
      </c>
      <c r="M15" s="17">
        <f t="shared" si="11"/>
        <v>0</v>
      </c>
      <c r="N15" s="17" t="e">
        <f>VLOOKUP($A15,#REF!,3,0)</f>
        <v>#REF!</v>
      </c>
      <c r="O15" s="61" t="s">
        <v>51</v>
      </c>
      <c r="P15">
        <v>10.983070488267526</v>
      </c>
      <c r="Q15">
        <v>6.1985733715252049</v>
      </c>
      <c r="R15" s="61" t="s">
        <v>51</v>
      </c>
      <c r="S15" s="62">
        <f>+_xlfn.XLOOKUP($R15,'[2]szemnedvesség FAO300'!$B$5:$B$20,'[2]szemnedvesség FAO300'!$C$5:$C$20)</f>
        <v>14.573076923076922</v>
      </c>
      <c r="T15" s="62">
        <f>+_xlfn.XLOOKUP($R15,'[2]szemnedvesség FAO300'!$B$5:$B$20,'[2]szemnedvesség FAO300'!$M$5:$M$20)</f>
        <v>15.63076923076923</v>
      </c>
      <c r="U15" s="61" t="s">
        <v>51</v>
      </c>
      <c r="V15" s="63">
        <f>_xlfn.XLOOKUP(U15,'[2]50% virágzás FAO300 '!$B$5:$B$20,'[2]50% virágzás FAO300 '!$I$5:$I$20)</f>
        <v>69.182692307692292</v>
      </c>
      <c r="W15" s="63">
        <v>69.182692307692292</v>
      </c>
      <c r="X15" s="61" t="s">
        <v>51</v>
      </c>
      <c r="Y15" s="17">
        <f>_xlfn.XLOOKUP(X15,'[2]cső alatt letört tő FAO300 '!$B$5:$B$20,'[2]cső alatt letört tő FAO300 '!$M$5:$M$20)</f>
        <v>0.15758274185240478</v>
      </c>
      <c r="Z15" s="17">
        <f>_xlfn.XLOOKUP(X15,'[2]cső alatt letört tő FAO300 '!$B$5:$B$20,'[2]cső alatt letört tő FAO300 '!$C$5:$C$20)</f>
        <v>4.9172114158204758</v>
      </c>
      <c r="AA15" s="61" t="s">
        <v>51</v>
      </c>
      <c r="AB15" s="17">
        <f>_xlfn.XLOOKUP(AA15,'[2]megdőlt tő FAO300 '!$B$5:$B$20,'[2]megdőlt tő FAO300 '!$M$5:$M$20)</f>
        <v>3.9250554714472245E-2</v>
      </c>
      <c r="AC15" s="17">
        <f>_xlfn.XLOOKUP(AA15,'[2]megdőlt tő FAO300 '!$B$5:$B$20,'[2]megdőlt tő FAO300 '!$C$5:$C$20)</f>
        <v>0</v>
      </c>
      <c r="AD15" s="61" t="s">
        <v>51</v>
      </c>
    </row>
    <row r="16" spans="1:31" x14ac:dyDescent="0.3">
      <c r="A16" s="11" t="str">
        <f t="shared" si="2"/>
        <v>Maximum_korai</v>
      </c>
      <c r="B16" s="18">
        <f t="shared" si="3"/>
        <v>11.564046892593804</v>
      </c>
      <c r="C16" s="18">
        <f t="shared" si="4"/>
        <v>6.7983560489853385</v>
      </c>
      <c r="D16" t="s">
        <v>36</v>
      </c>
      <c r="E16" s="17">
        <f t="shared" si="12"/>
        <v>18.200000000000003</v>
      </c>
      <c r="F16" s="17">
        <f t="shared" si="13"/>
        <v>17.425000000000001</v>
      </c>
      <c r="G16" s="17">
        <f t="shared" si="0"/>
        <v>71.541666666666671</v>
      </c>
      <c r="H16" s="17">
        <f t="shared" si="1"/>
        <v>71.541666666666671</v>
      </c>
      <c r="I16" s="17">
        <f t="shared" si="7"/>
        <v>1.2626262626262625</v>
      </c>
      <c r="J16" s="17">
        <f t="shared" si="8"/>
        <v>20.441154048564076</v>
      </c>
      <c r="K16" s="17">
        <f t="shared" si="9"/>
        <v>0.25773195876288657</v>
      </c>
      <c r="L16" s="17">
        <f t="shared" si="10"/>
        <v>0</v>
      </c>
      <c r="M16" s="17">
        <f t="shared" si="11"/>
        <v>0</v>
      </c>
      <c r="N16" s="17" t="e">
        <f>VLOOKUP($A16,#REF!,3,0)</f>
        <v>#REF!</v>
      </c>
      <c r="O16" s="61" t="s">
        <v>90</v>
      </c>
      <c r="P16">
        <v>11.564046892593804</v>
      </c>
      <c r="Q16">
        <v>6.7983560489853385</v>
      </c>
      <c r="R16" s="61" t="s">
        <v>90</v>
      </c>
      <c r="S16" s="62">
        <f>+_xlfn.XLOOKUP($R16,'[2]szemnedvesség FAO300'!$B$5:$B$20,'[2]szemnedvesség FAO300'!$C$5:$C$20)</f>
        <v>18.200000000000003</v>
      </c>
      <c r="T16" s="62">
        <f>+_xlfn.XLOOKUP($R16,'[2]szemnedvesség FAO300'!$B$5:$B$20,'[2]szemnedvesség FAO300'!$M$5:$M$20)</f>
        <v>17.425000000000001</v>
      </c>
      <c r="U16" s="61" t="s">
        <v>90</v>
      </c>
      <c r="V16" s="63">
        <f>_xlfn.XLOOKUP(U16,'[2]50% virágzás FAO300 '!$B$5:$B$20,'[2]50% virágzás FAO300 '!$I$5:$I$20)</f>
        <v>71.541666666666671</v>
      </c>
      <c r="W16" s="63">
        <v>71.541666666666671</v>
      </c>
      <c r="X16" s="61" t="s">
        <v>90</v>
      </c>
      <c r="Y16" s="17">
        <f>_xlfn.XLOOKUP(X16,'[2]cső alatt letört tő FAO300 '!$B$5:$B$20,'[2]cső alatt letört tő FAO300 '!$M$5:$M$20)</f>
        <v>1.2626262626262625</v>
      </c>
      <c r="Z16" s="17">
        <f>_xlfn.XLOOKUP(X16,'[2]cső alatt letört tő FAO300 '!$B$5:$B$20,'[2]cső alatt letört tő FAO300 '!$C$5:$C$20)</f>
        <v>20.441154048564076</v>
      </c>
      <c r="AA16" s="61" t="s">
        <v>90</v>
      </c>
      <c r="AB16" s="17">
        <f>_xlfn.XLOOKUP(AA16,'[2]megdőlt tő FAO300 '!$B$5:$B$20,'[2]megdőlt tő FAO300 '!$M$5:$M$20)</f>
        <v>0.25773195876288657</v>
      </c>
      <c r="AC16" s="17">
        <f>_xlfn.XLOOKUP(AA16,'[2]megdőlt tő FAO300 '!$B$5:$B$20,'[2]megdőlt tő FAO300 '!$C$5:$C$20)</f>
        <v>0</v>
      </c>
      <c r="AD16" s="61" t="s">
        <v>90</v>
      </c>
    </row>
    <row r="17" spans="1:31" x14ac:dyDescent="0.3">
      <c r="A17" s="11" t="str">
        <f t="shared" si="2"/>
        <v>Minimum_Korai</v>
      </c>
      <c r="B17" s="18">
        <f t="shared" si="3"/>
        <v>10.44953917215931</v>
      </c>
      <c r="C17" s="18">
        <f t="shared" si="4"/>
        <v>5.2022619955686302</v>
      </c>
      <c r="D17" t="s">
        <v>36</v>
      </c>
      <c r="E17" s="17">
        <f t="shared" si="12"/>
        <v>13.675000000000001</v>
      </c>
      <c r="F17" s="17">
        <f t="shared" si="13"/>
        <v>14.85</v>
      </c>
      <c r="G17" s="17">
        <f t="shared" si="0"/>
        <v>66.208333333333329</v>
      </c>
      <c r="H17" s="17">
        <f t="shared" si="1"/>
        <v>66.208333333333329</v>
      </c>
      <c r="I17" s="17">
        <f t="shared" si="7"/>
        <v>0</v>
      </c>
      <c r="J17" s="17">
        <f t="shared" ref="J17:J35" si="14">VLOOKUP($A17,$X$2:$Z$35,3,0)</f>
        <v>0</v>
      </c>
      <c r="K17" s="17">
        <f t="shared" si="9"/>
        <v>0</v>
      </c>
      <c r="L17" s="17">
        <f t="shared" si="10"/>
        <v>0</v>
      </c>
      <c r="M17" s="17">
        <f>_xlfn.XLOOKUP($A17,AD17:AD32,AE17:AE32)</f>
        <v>0</v>
      </c>
      <c r="N17" s="17" t="e">
        <f>VLOOKUP($A17,#REF!,3,0)</f>
        <v>#REF!</v>
      </c>
      <c r="O17" s="61" t="s">
        <v>91</v>
      </c>
      <c r="P17">
        <v>10.44953917215931</v>
      </c>
      <c r="Q17">
        <v>5.2022619955686302</v>
      </c>
      <c r="R17" s="61" t="s">
        <v>92</v>
      </c>
      <c r="S17" s="62">
        <f>+_xlfn.XLOOKUP($R17,'[2]szemnedvesség FAO300'!$B$5:$B$20,'[2]szemnedvesség FAO300'!$C$5:$C$20)</f>
        <v>13.675000000000001</v>
      </c>
      <c r="T17" s="62">
        <f>+_xlfn.XLOOKUP($R17,'[2]szemnedvesség FAO300'!$B$5:$B$20,'[2]szemnedvesség FAO300'!$M$5:$M$20)</f>
        <v>14.85</v>
      </c>
      <c r="U17" s="61" t="s">
        <v>92</v>
      </c>
      <c r="V17" s="63">
        <f>_xlfn.XLOOKUP(U17,'[2]50% virágzás FAO300 '!$B$5:$B$20,'[2]50% virágzás FAO300 '!$I$5:$I$20)</f>
        <v>66.208333333333329</v>
      </c>
      <c r="W17" s="63">
        <v>66.208333333333329</v>
      </c>
      <c r="X17" s="61" t="s">
        <v>92</v>
      </c>
      <c r="Y17" s="17">
        <f>_xlfn.XLOOKUP(X17,'[2]cső alatt letört tő FAO300 '!$B$5:$B$20,'[2]cső alatt letört tő FAO300 '!$M$5:$M$20)</f>
        <v>0</v>
      </c>
      <c r="Z17" s="17">
        <f>_xlfn.XLOOKUP(X17,'[2]cső alatt letört tő FAO300 '!$B$5:$B$20,'[2]cső alatt letört tő FAO300 '!$C$5:$C$20)</f>
        <v>0</v>
      </c>
      <c r="AA17" s="61" t="s">
        <v>92</v>
      </c>
      <c r="AB17" s="17">
        <f>_xlfn.XLOOKUP(AA17,'[2]megdőlt tő FAO300 '!$B$5:$B$20,'[2]megdőlt tő FAO300 '!$M$5:$M$20)</f>
        <v>0</v>
      </c>
      <c r="AC17" s="17">
        <f>_xlfn.XLOOKUP(AA17,'[2]megdőlt tő FAO300 '!$B$5:$B$20,'[2]megdőlt tő FAO300 '!$C$5:$C$20)</f>
        <v>0</v>
      </c>
      <c r="AD17" s="61" t="s">
        <v>92</v>
      </c>
    </row>
    <row r="18" spans="1:31" x14ac:dyDescent="0.3">
      <c r="A18" s="11" t="str">
        <f t="shared" si="2"/>
        <v>DKC4933</v>
      </c>
      <c r="B18" s="18">
        <f t="shared" si="3"/>
        <v>11.516074411760471</v>
      </c>
      <c r="C18" s="18">
        <f t="shared" si="4"/>
        <v>6.9237684582135381</v>
      </c>
      <c r="D18" t="s">
        <v>59</v>
      </c>
      <c r="E18" s="17">
        <f t="shared" si="12"/>
        <v>18.774999999999999</v>
      </c>
      <c r="F18" s="17">
        <f t="shared" si="13"/>
        <v>16.974999999999998</v>
      </c>
      <c r="G18" s="17">
        <f t="shared" si="0"/>
        <v>70.416666666666671</v>
      </c>
      <c r="H18" s="17">
        <f t="shared" si="1"/>
        <v>70.416666666666671</v>
      </c>
      <c r="I18" s="17">
        <f t="shared" ref="I18:I35" si="15">VLOOKUP($A18,$X$2:$Z$35,2,0)</f>
        <v>0</v>
      </c>
      <c r="J18" s="17">
        <f t="shared" si="14"/>
        <v>0.29411764705882354</v>
      </c>
      <c r="K18" s="17">
        <f t="shared" ref="K18:K35" si="16">VLOOKUP($A18,$AA$2:$AC$35,2,0)</f>
        <v>0</v>
      </c>
      <c r="L18" s="17">
        <f t="shared" ref="L18:L35" si="17">VLOOKUP($A18,$AA$2:$AC$35,3,0)</f>
        <v>0.25</v>
      </c>
      <c r="M18" s="17" t="str">
        <f>_xlfn.XLOOKUP(A18,$AD$18:$AD$35,$AE$18:$AE$35)</f>
        <v>1./15/8,6 ingadozó</v>
      </c>
      <c r="N18" s="17"/>
      <c r="O18" s="16" t="s">
        <v>95</v>
      </c>
      <c r="P18">
        <v>11.516074411760471</v>
      </c>
      <c r="Q18" s="17">
        <v>6.9237684582135381</v>
      </c>
      <c r="R18" s="16" t="s">
        <v>95</v>
      </c>
      <c r="S18">
        <f>_xlfn.XLOOKUP(R18,'[2]szemnedvesség FAO400'!$B$5:$B$22,'[2]szemnedvesség FAO400'!$M$5:$M$22)</f>
        <v>18.774999999999999</v>
      </c>
      <c r="T18">
        <f>_xlfn.XLOOKUP(R18,'[2]szemnedvesség FAO400'!$B$5:$B$22,'[2]szemnedvesség FAO400'!$C$5:$C$22)</f>
        <v>16.974999999999998</v>
      </c>
      <c r="U18" s="16" t="s">
        <v>95</v>
      </c>
      <c r="V18" s="63">
        <f>_xlfn.XLOOKUP(U18,'[2]50% virágzás FAO400 '!$B$5:$B$22,'[2]50% virágzás FAO400 '!$I$5:$I$22)</f>
        <v>70.416666666666671</v>
      </c>
      <c r="W18" s="63">
        <v>70.416666666666671</v>
      </c>
      <c r="X18" s="16" t="s">
        <v>95</v>
      </c>
      <c r="Y18" s="17">
        <f>+_xlfn.XLOOKUP(X18,'[2]cső alatt letört tő FAO400  '!$B$5:$B$22,'[2]cső alatt letört tő FAO400  '!$M$5:$M$22)</f>
        <v>0</v>
      </c>
      <c r="Z18" s="17">
        <f>_xlfn.XLOOKUP(X18,'[2]cső alatt letört tő FAO400  '!$B$5:$B$22,'[2]cső alatt letört tő FAO400  '!$C$5:$C$22)</f>
        <v>0.29411764705882354</v>
      </c>
      <c r="AA18" s="16" t="s">
        <v>95</v>
      </c>
      <c r="AB18" s="17">
        <f>_xlfn.XLOOKUP(AA18,'[2]megdőlt tő FAO400 '!$B$5:$B$22,'[2]megdőlt tő FAO400 '!$M$5:$M$22)</f>
        <v>0</v>
      </c>
      <c r="AC18" s="17">
        <f>+(_xlfn.XLOOKUP(AA18,'[2]megdőlt tő FAO400 '!$B$5:$B$22,'[2]megdőlt tő FAO400 '!$C$5:$C$22))</f>
        <v>0.25</v>
      </c>
      <c r="AD18" s="16" t="s">
        <v>95</v>
      </c>
      <c r="AE18" t="s">
        <v>137</v>
      </c>
    </row>
    <row r="19" spans="1:31" x14ac:dyDescent="0.3">
      <c r="A19" s="11" t="str">
        <f t="shared" si="2"/>
        <v>DKC5092_</v>
      </c>
      <c r="B19" s="18">
        <f t="shared" si="3"/>
        <v>11.166732070793856</v>
      </c>
      <c r="C19" s="18">
        <f t="shared" si="4"/>
        <v>6.962719298245613</v>
      </c>
      <c r="D19" t="s">
        <v>59</v>
      </c>
      <c r="E19" s="17">
        <f t="shared" si="12"/>
        <v>19.100000000000001</v>
      </c>
      <c r="F19" s="17">
        <f t="shared" si="13"/>
        <v>14.625</v>
      </c>
      <c r="G19" s="17">
        <f t="shared" si="0"/>
        <v>68.041666666666671</v>
      </c>
      <c r="H19" s="17">
        <f t="shared" si="1"/>
        <v>68.041666666666671</v>
      </c>
      <c r="I19" s="17">
        <f t="shared" si="15"/>
        <v>0</v>
      </c>
      <c r="J19" s="17">
        <f t="shared" si="14"/>
        <v>1.4079074252651882</v>
      </c>
      <c r="K19" s="17">
        <f t="shared" si="16"/>
        <v>0</v>
      </c>
      <c r="L19" s="17">
        <f t="shared" si="17"/>
        <v>0</v>
      </c>
      <c r="M19" s="17" t="str">
        <f t="shared" ref="M19:M35" si="18">_xlfn.XLOOKUP(A19,$AD$18:$AD$35,$AE$18:$AE$35)</f>
        <v>2./15/8,6 kilengő</v>
      </c>
      <c r="N19" s="17"/>
      <c r="O19" s="11" t="s">
        <v>108</v>
      </c>
      <c r="P19">
        <v>11.166732070793856</v>
      </c>
      <c r="Q19" s="17">
        <v>6.962719298245613</v>
      </c>
      <c r="R19" s="11" t="s">
        <v>108</v>
      </c>
      <c r="S19">
        <f>_xlfn.XLOOKUP(R19,'[2]szemnedvesség FAO400'!$B$5:$B$22,'[2]szemnedvesség FAO400'!$M$5:$M$22)</f>
        <v>19.100000000000001</v>
      </c>
      <c r="T19">
        <f>_xlfn.XLOOKUP(R19,'[2]szemnedvesség FAO400'!$B$5:$B$22,'[2]szemnedvesség FAO400'!$C$5:$C$22)</f>
        <v>14.625</v>
      </c>
      <c r="U19" s="11" t="s">
        <v>108</v>
      </c>
      <c r="V19" s="63">
        <f>_xlfn.XLOOKUP(U19,'[2]50% virágzás FAO400 '!$B$5:$B$22,'[2]50% virágzás FAO400 '!$I$5:$I$22)</f>
        <v>68.041666666666671</v>
      </c>
      <c r="W19" s="63">
        <v>68.041666666666671</v>
      </c>
      <c r="X19" s="11" t="s">
        <v>108</v>
      </c>
      <c r="Y19" s="17">
        <f>+_xlfn.XLOOKUP(X19,'[2]cső alatt letört tő FAO400  '!$B$5:$B$22,'[2]cső alatt letört tő FAO400  '!$M$5:$M$22)</f>
        <v>0</v>
      </c>
      <c r="Z19" s="17">
        <f>_xlfn.XLOOKUP(X19,'[2]cső alatt letört tő FAO400  '!$B$5:$B$22,'[2]cső alatt letört tő FAO400  '!$C$5:$C$22)</f>
        <v>1.4079074252651882</v>
      </c>
      <c r="AA19" s="11" t="s">
        <v>108</v>
      </c>
      <c r="AB19" s="17">
        <f>_xlfn.XLOOKUP(AA19,'[2]megdőlt tő FAO400 '!$B$5:$B$22,'[2]megdőlt tő FAO400 '!$M$5:$M$22)</f>
        <v>0</v>
      </c>
      <c r="AC19" s="17">
        <f>+(_xlfn.XLOOKUP(AA19,'[2]megdőlt tő FAO400 '!$B$5:$B$22,'[2]megdőlt tő FAO400 '!$C$5:$C$22))</f>
        <v>0</v>
      </c>
      <c r="AD19" s="11" t="s">
        <v>108</v>
      </c>
      <c r="AE19" t="s">
        <v>138</v>
      </c>
    </row>
    <row r="20" spans="1:31" x14ac:dyDescent="0.3">
      <c r="A20" s="11" t="str">
        <f t="shared" si="2"/>
        <v>KWS GENTO</v>
      </c>
      <c r="B20" s="18">
        <f t="shared" si="3"/>
        <v>10.932652078815446</v>
      </c>
      <c r="C20" s="18">
        <f t="shared" si="4"/>
        <v>6.6072442579879649</v>
      </c>
      <c r="D20" t="s">
        <v>59</v>
      </c>
      <c r="E20" s="17">
        <f t="shared" si="12"/>
        <v>15.425000000000001</v>
      </c>
      <c r="F20" s="17">
        <f t="shared" si="13"/>
        <v>15.25</v>
      </c>
      <c r="G20" s="17">
        <f t="shared" si="0"/>
        <v>68.75</v>
      </c>
      <c r="H20" s="17">
        <f t="shared" si="1"/>
        <v>68.75</v>
      </c>
      <c r="I20" s="17">
        <f t="shared" si="15"/>
        <v>0</v>
      </c>
      <c r="J20" s="17">
        <f t="shared" si="14"/>
        <v>3.1441532563159553</v>
      </c>
      <c r="K20" s="17">
        <f t="shared" si="16"/>
        <v>0</v>
      </c>
      <c r="L20" s="17">
        <f t="shared" si="17"/>
        <v>0</v>
      </c>
      <c r="M20" s="17" t="str">
        <f t="shared" si="18"/>
        <v>3./15/8,6 Kérdezz!</v>
      </c>
      <c r="N20" s="17"/>
      <c r="O20" s="11" t="s">
        <v>96</v>
      </c>
      <c r="P20">
        <v>10.932652078815446</v>
      </c>
      <c r="Q20" s="17">
        <v>6.6072442579879649</v>
      </c>
      <c r="R20" s="11" t="s">
        <v>96</v>
      </c>
      <c r="S20">
        <f>_xlfn.XLOOKUP(R20,'[2]szemnedvesség FAO400'!$B$5:$B$22,'[2]szemnedvesség FAO400'!$M$5:$M$22)</f>
        <v>15.425000000000001</v>
      </c>
      <c r="T20">
        <f>_xlfn.XLOOKUP(R20,'[2]szemnedvesség FAO400'!$B$5:$B$22,'[2]szemnedvesség FAO400'!$C$5:$C$22)</f>
        <v>15.25</v>
      </c>
      <c r="U20" s="11" t="s">
        <v>96</v>
      </c>
      <c r="V20" s="63">
        <f>_xlfn.XLOOKUP(U20,'[2]50% virágzás FAO400 '!$B$5:$B$22,'[2]50% virágzás FAO400 '!$I$5:$I$22)</f>
        <v>68.75</v>
      </c>
      <c r="W20" s="63">
        <v>68.75</v>
      </c>
      <c r="X20" s="11" t="s">
        <v>96</v>
      </c>
      <c r="Y20" s="17">
        <f>+_xlfn.XLOOKUP(X20,'[2]cső alatt letört tő FAO400  '!$B$5:$B$22,'[2]cső alatt letört tő FAO400  '!$M$5:$M$22)</f>
        <v>0</v>
      </c>
      <c r="Z20" s="17">
        <f>_xlfn.XLOOKUP(X20,'[2]cső alatt letört tő FAO400  '!$B$5:$B$22,'[2]cső alatt letört tő FAO400  '!$C$5:$C$22)</f>
        <v>3.1441532563159553</v>
      </c>
      <c r="AA20" s="11" t="s">
        <v>96</v>
      </c>
      <c r="AB20" s="17">
        <f>_xlfn.XLOOKUP(AA20,'[2]megdőlt tő FAO400 '!$B$5:$B$22,'[2]megdőlt tő FAO400 '!$M$5:$M$22)</f>
        <v>0</v>
      </c>
      <c r="AC20" s="17">
        <f>+(_xlfn.XLOOKUP(AA20,'[2]megdőlt tő FAO400 '!$B$5:$B$22,'[2]megdőlt tő FAO400 '!$C$5:$C$22))</f>
        <v>0</v>
      </c>
      <c r="AD20" s="11" t="s">
        <v>96</v>
      </c>
      <c r="AE20" t="s">
        <v>139</v>
      </c>
    </row>
    <row r="21" spans="1:31" x14ac:dyDescent="0.3">
      <c r="A21" s="11" t="str">
        <f t="shared" si="2"/>
        <v>Fidencio</v>
      </c>
      <c r="B21" s="18">
        <f t="shared" si="3"/>
        <v>10.895684421943001</v>
      </c>
      <c r="C21" s="18">
        <f t="shared" si="4"/>
        <v>6.6876959911856932</v>
      </c>
      <c r="D21" t="s">
        <v>59</v>
      </c>
      <c r="E21" s="17">
        <f t="shared" si="12"/>
        <v>18.675000000000001</v>
      </c>
      <c r="F21" s="17">
        <f t="shared" si="13"/>
        <v>17.625</v>
      </c>
      <c r="G21" s="17">
        <f t="shared" si="0"/>
        <v>70.541666666666671</v>
      </c>
      <c r="H21" s="17">
        <f t="shared" si="1"/>
        <v>70.541666666666671</v>
      </c>
      <c r="I21" s="17">
        <f t="shared" si="15"/>
        <v>0</v>
      </c>
      <c r="J21" s="17">
        <f t="shared" si="14"/>
        <v>1.3214796485891354</v>
      </c>
      <c r="K21" s="17">
        <f t="shared" si="16"/>
        <v>0</v>
      </c>
      <c r="L21" s="17">
        <f t="shared" si="17"/>
        <v>0</v>
      </c>
      <c r="M21" s="17" t="str">
        <f t="shared" si="18"/>
        <v>4./15/8,6 kilengő</v>
      </c>
      <c r="N21" s="17" t="e">
        <f>VLOOKUP($A21,#REF!,3,0)</f>
        <v>#REF!</v>
      </c>
      <c r="O21" t="s">
        <v>48</v>
      </c>
      <c r="P21">
        <v>10.895684421943001</v>
      </c>
      <c r="Q21" s="17">
        <v>6.6876959911856932</v>
      </c>
      <c r="R21" t="s">
        <v>48</v>
      </c>
      <c r="S21">
        <f>_xlfn.XLOOKUP(R21,'[2]szemnedvesség FAO400'!$B$5:$B$22,'[2]szemnedvesség FAO400'!$M$5:$M$22)</f>
        <v>18.675000000000001</v>
      </c>
      <c r="T21">
        <f>_xlfn.XLOOKUP(R21,'[2]szemnedvesség FAO400'!$B$5:$B$22,'[2]szemnedvesség FAO400'!$C$5:$C$22)</f>
        <v>17.625</v>
      </c>
      <c r="U21" t="s">
        <v>48</v>
      </c>
      <c r="V21" s="63">
        <f>_xlfn.XLOOKUP(U21,'[2]50% virágzás FAO400 '!$B$5:$B$22,'[2]50% virágzás FAO400 '!$I$5:$I$22)</f>
        <v>70.541666666666671</v>
      </c>
      <c r="W21" s="63">
        <v>70.541666666666671</v>
      </c>
      <c r="X21" t="s">
        <v>48</v>
      </c>
      <c r="Y21" s="17">
        <f>+_xlfn.XLOOKUP(X21,'[2]cső alatt letört tő FAO400  '!$B$5:$B$22,'[2]cső alatt letört tő FAO400  '!$M$5:$M$22)</f>
        <v>0</v>
      </c>
      <c r="Z21" s="17">
        <f>_xlfn.XLOOKUP(X21,'[2]cső alatt letört tő FAO400  '!$B$5:$B$22,'[2]cső alatt letört tő FAO400  '!$C$5:$C$22)</f>
        <v>1.3214796485891354</v>
      </c>
      <c r="AA21" t="s">
        <v>48</v>
      </c>
      <c r="AB21" s="17">
        <f>_xlfn.XLOOKUP(AA21,'[2]megdőlt tő FAO400 '!$B$5:$B$22,'[2]megdőlt tő FAO400 '!$M$5:$M$22)</f>
        <v>0</v>
      </c>
      <c r="AC21" s="17">
        <f>+(_xlfn.XLOOKUP(AA21,'[2]megdőlt tő FAO400 '!$B$5:$B$22,'[2]megdőlt tő FAO400 '!$C$5:$C$22))</f>
        <v>0</v>
      </c>
      <c r="AD21" t="s">
        <v>48</v>
      </c>
      <c r="AE21" t="s">
        <v>140</v>
      </c>
    </row>
    <row r="22" spans="1:31" x14ac:dyDescent="0.3">
      <c r="A22" s="11" t="str">
        <f t="shared" si="2"/>
        <v>P0710</v>
      </c>
      <c r="B22" s="18">
        <f t="shared" si="3"/>
        <v>10.705577708571743</v>
      </c>
      <c r="C22" s="18">
        <f t="shared" si="4"/>
        <v>6.540132169191093</v>
      </c>
      <c r="D22" t="s">
        <v>59</v>
      </c>
      <c r="E22" s="17">
        <f t="shared" si="12"/>
        <v>20.274999999999999</v>
      </c>
      <c r="F22" s="17">
        <f t="shared" si="13"/>
        <v>18.349999999999998</v>
      </c>
      <c r="G22" s="17">
        <f t="shared" si="0"/>
        <v>71.333333333333329</v>
      </c>
      <c r="H22" s="17">
        <f t="shared" si="1"/>
        <v>71.333333333333329</v>
      </c>
      <c r="I22" s="17">
        <f t="shared" si="15"/>
        <v>0</v>
      </c>
      <c r="J22" s="17">
        <f t="shared" si="14"/>
        <v>1.4086687306501546</v>
      </c>
      <c r="K22" s="17">
        <f t="shared" si="16"/>
        <v>0</v>
      </c>
      <c r="L22" s="17">
        <f t="shared" si="17"/>
        <v>0</v>
      </c>
      <c r="M22" s="17" t="str">
        <f t="shared" si="18"/>
        <v>5./15/8,6 billegő</v>
      </c>
      <c r="N22" s="17" t="e">
        <f>VLOOKUP($A22,#REF!,3,0)</f>
        <v>#REF!</v>
      </c>
      <c r="O22" t="s">
        <v>97</v>
      </c>
      <c r="P22">
        <v>10.705577708571743</v>
      </c>
      <c r="Q22" s="17">
        <v>6.540132169191093</v>
      </c>
      <c r="R22" t="s">
        <v>97</v>
      </c>
      <c r="S22">
        <f>_xlfn.XLOOKUP(R22,'[2]szemnedvesség FAO400'!$B$5:$B$22,'[2]szemnedvesség FAO400'!$M$5:$M$22)</f>
        <v>20.274999999999999</v>
      </c>
      <c r="T22">
        <f>_xlfn.XLOOKUP(R22,'[2]szemnedvesség FAO400'!$B$5:$B$22,'[2]szemnedvesség FAO400'!$C$5:$C$22)</f>
        <v>18.349999999999998</v>
      </c>
      <c r="U22" t="s">
        <v>97</v>
      </c>
      <c r="V22" s="63">
        <f>_xlfn.XLOOKUP(U22,'[2]50% virágzás FAO400 '!$B$5:$B$22,'[2]50% virágzás FAO400 '!$I$5:$I$22)</f>
        <v>71.333333333333329</v>
      </c>
      <c r="W22" s="63">
        <v>71.333333333333329</v>
      </c>
      <c r="X22" t="s">
        <v>97</v>
      </c>
      <c r="Y22" s="17">
        <f>+_xlfn.XLOOKUP(X22,'[2]cső alatt letört tő FAO400  '!$B$5:$B$22,'[2]cső alatt letört tő FAO400  '!$M$5:$M$22)</f>
        <v>0</v>
      </c>
      <c r="Z22" s="17">
        <f>_xlfn.XLOOKUP(X22,'[2]cső alatt letört tő FAO400  '!$B$5:$B$22,'[2]cső alatt letört tő FAO400  '!$C$5:$C$22)</f>
        <v>1.4086687306501546</v>
      </c>
      <c r="AA22" t="s">
        <v>97</v>
      </c>
      <c r="AB22" s="17">
        <f>_xlfn.XLOOKUP(AA22,'[2]megdőlt tő FAO400 '!$B$5:$B$22,'[2]megdőlt tő FAO400 '!$M$5:$M$22)</f>
        <v>0</v>
      </c>
      <c r="AC22" s="17">
        <f>+(_xlfn.XLOOKUP(AA22,'[2]megdőlt tő FAO400 '!$B$5:$B$22,'[2]megdőlt tő FAO400 '!$C$5:$C$22))</f>
        <v>0</v>
      </c>
      <c r="AD22" t="s">
        <v>97</v>
      </c>
      <c r="AE22" t="s">
        <v>141</v>
      </c>
    </row>
    <row r="23" spans="1:31" x14ac:dyDescent="0.3">
      <c r="A23" s="11" t="str">
        <f t="shared" si="2"/>
        <v>Sy Evident</v>
      </c>
      <c r="B23" s="18">
        <f t="shared" si="3"/>
        <v>10.754491440418214</v>
      </c>
      <c r="C23" s="18">
        <f t="shared" si="4"/>
        <v>5.9588757521823883</v>
      </c>
      <c r="D23" t="s">
        <v>59</v>
      </c>
      <c r="E23" s="17">
        <f t="shared" si="12"/>
        <v>16.524999999999999</v>
      </c>
      <c r="F23" s="17">
        <f t="shared" si="13"/>
        <v>15.625000000000002</v>
      </c>
      <c r="G23" s="17">
        <f t="shared" si="0"/>
        <v>72.458333333333329</v>
      </c>
      <c r="H23" s="17">
        <f t="shared" si="1"/>
        <v>72.458333333333329</v>
      </c>
      <c r="I23" s="17">
        <f t="shared" si="15"/>
        <v>0</v>
      </c>
      <c r="J23" s="17">
        <f t="shared" si="14"/>
        <v>0</v>
      </c>
      <c r="K23" s="17">
        <f t="shared" si="16"/>
        <v>0</v>
      </c>
      <c r="L23" s="17">
        <f t="shared" si="17"/>
        <v>0</v>
      </c>
      <c r="M23" s="17" t="str">
        <f t="shared" si="18"/>
        <v>6./15/8,6 billegő</v>
      </c>
      <c r="N23" s="17" t="e">
        <f>VLOOKUP($A23,#REF!,3,0)</f>
        <v>#REF!</v>
      </c>
      <c r="O23" t="s">
        <v>98</v>
      </c>
      <c r="P23">
        <v>10.754491440418214</v>
      </c>
      <c r="Q23" s="17">
        <v>5.9588757521823883</v>
      </c>
      <c r="R23" t="s">
        <v>98</v>
      </c>
      <c r="S23">
        <f>_xlfn.XLOOKUP(R23,'[2]szemnedvesség FAO400'!$B$5:$B$22,'[2]szemnedvesség FAO400'!$M$5:$M$22)</f>
        <v>16.524999999999999</v>
      </c>
      <c r="T23">
        <f>_xlfn.XLOOKUP(R23,'[2]szemnedvesség FAO400'!$B$5:$B$22,'[2]szemnedvesség FAO400'!$C$5:$C$22)</f>
        <v>15.625000000000002</v>
      </c>
      <c r="U23" t="s">
        <v>98</v>
      </c>
      <c r="V23" s="63">
        <f>_xlfn.XLOOKUP(U23,'[2]50% virágzás FAO400 '!$B$5:$B$22,'[2]50% virágzás FAO400 '!$I$5:$I$22)</f>
        <v>72.458333333333329</v>
      </c>
      <c r="W23" s="63">
        <v>72.458333333333329</v>
      </c>
      <c r="X23" t="s">
        <v>98</v>
      </c>
      <c r="Y23" s="17">
        <f>+_xlfn.XLOOKUP(X23,'[2]cső alatt letört tő FAO400  '!$B$5:$B$22,'[2]cső alatt letört tő FAO400  '!$M$5:$M$22)</f>
        <v>0</v>
      </c>
      <c r="Z23" s="17">
        <f>_xlfn.XLOOKUP(X23,'[2]cső alatt letört tő FAO400  '!$B$5:$B$22,'[2]cső alatt letört tő FAO400  '!$C$5:$C$22)</f>
        <v>0</v>
      </c>
      <c r="AA23" t="s">
        <v>98</v>
      </c>
      <c r="AB23" s="17">
        <f>_xlfn.XLOOKUP(AA23,'[2]megdőlt tő FAO400 '!$B$5:$B$22,'[2]megdőlt tő FAO400 '!$M$5:$M$22)</f>
        <v>0</v>
      </c>
      <c r="AC23" s="17">
        <f>+(_xlfn.XLOOKUP(AA23,'[2]megdőlt tő FAO400 '!$B$5:$B$22,'[2]megdőlt tő FAO400 '!$C$5:$C$22))</f>
        <v>0</v>
      </c>
      <c r="AD23" t="s">
        <v>98</v>
      </c>
      <c r="AE23" t="s">
        <v>142</v>
      </c>
    </row>
    <row r="24" spans="1:31" x14ac:dyDescent="0.3">
      <c r="A24" s="11" t="str">
        <f t="shared" si="2"/>
        <v>P9975</v>
      </c>
      <c r="B24" s="18">
        <f t="shared" si="3"/>
        <v>10.465319073345832</v>
      </c>
      <c r="C24" s="18">
        <f t="shared" si="4"/>
        <v>5.9302250190694128</v>
      </c>
      <c r="D24" t="s">
        <v>59</v>
      </c>
      <c r="E24" s="17">
        <f t="shared" si="12"/>
        <v>16.125</v>
      </c>
      <c r="F24" s="17">
        <f t="shared" si="13"/>
        <v>14.25</v>
      </c>
      <c r="G24" s="17">
        <f t="shared" si="0"/>
        <v>71.416666666666671</v>
      </c>
      <c r="H24" s="17">
        <f t="shared" si="1"/>
        <v>71.416666666666671</v>
      </c>
      <c r="I24" s="17">
        <f t="shared" si="15"/>
        <v>0.25510204081632654</v>
      </c>
      <c r="J24" s="17">
        <f t="shared" si="14"/>
        <v>0.58139534883720934</v>
      </c>
      <c r="K24" s="17">
        <f t="shared" si="16"/>
        <v>0</v>
      </c>
      <c r="L24" s="17">
        <f t="shared" si="17"/>
        <v>0</v>
      </c>
      <c r="M24" s="17" t="str">
        <f t="shared" si="18"/>
        <v>7./15/8,6 Kérdezz!</v>
      </c>
      <c r="N24" s="17" t="e">
        <f>VLOOKUP($A24,#REF!,3,0)</f>
        <v>#REF!</v>
      </c>
      <c r="O24" t="s">
        <v>99</v>
      </c>
      <c r="P24">
        <v>10.465319073345832</v>
      </c>
      <c r="Q24" s="17">
        <v>5.9302250190694128</v>
      </c>
      <c r="R24" t="s">
        <v>99</v>
      </c>
      <c r="S24">
        <f>_xlfn.XLOOKUP(R24,'[2]szemnedvesség FAO400'!$B$5:$B$22,'[2]szemnedvesség FAO400'!$M$5:$M$22)</f>
        <v>16.125</v>
      </c>
      <c r="T24">
        <f>_xlfn.XLOOKUP(R24,'[2]szemnedvesség FAO400'!$B$5:$B$22,'[2]szemnedvesség FAO400'!$C$5:$C$22)</f>
        <v>14.25</v>
      </c>
      <c r="U24" t="s">
        <v>99</v>
      </c>
      <c r="V24" s="63">
        <f>_xlfn.XLOOKUP(U24,'[2]50% virágzás FAO400 '!$B$5:$B$22,'[2]50% virágzás FAO400 '!$I$5:$I$22)</f>
        <v>71.416666666666671</v>
      </c>
      <c r="W24" s="63">
        <v>71.416666666666671</v>
      </c>
      <c r="X24" t="s">
        <v>99</v>
      </c>
      <c r="Y24" s="17">
        <f>+_xlfn.XLOOKUP(X24,'[2]cső alatt letört tő FAO400  '!$B$5:$B$22,'[2]cső alatt letört tő FAO400  '!$M$5:$M$22)</f>
        <v>0.25510204081632654</v>
      </c>
      <c r="Z24" s="17">
        <f>_xlfn.XLOOKUP(X24,'[2]cső alatt letört tő FAO400  '!$B$5:$B$22,'[2]cső alatt letört tő FAO400  '!$C$5:$C$22)</f>
        <v>0.58139534883720934</v>
      </c>
      <c r="AA24" t="s">
        <v>99</v>
      </c>
      <c r="AB24" s="17">
        <f>_xlfn.XLOOKUP(AA24,'[2]megdőlt tő FAO400 '!$B$5:$B$22,'[2]megdőlt tő FAO400 '!$M$5:$M$22)</f>
        <v>0</v>
      </c>
      <c r="AC24" s="17">
        <f>+(_xlfn.XLOOKUP(AA24,'[2]megdőlt tő FAO400 '!$B$5:$B$22,'[2]megdőlt tő FAO400 '!$C$5:$C$22))</f>
        <v>0</v>
      </c>
      <c r="AD24" t="s">
        <v>99</v>
      </c>
      <c r="AE24" t="s">
        <v>143</v>
      </c>
    </row>
    <row r="25" spans="1:31" x14ac:dyDescent="0.3">
      <c r="A25" s="11" t="str">
        <f t="shared" si="2"/>
        <v>INDEM1012</v>
      </c>
      <c r="B25" s="18">
        <f t="shared" si="3"/>
        <v>10.963704215870019</v>
      </c>
      <c r="C25" s="18">
        <f t="shared" si="4"/>
        <v>5.8796381049241457</v>
      </c>
      <c r="D25" t="s">
        <v>59</v>
      </c>
      <c r="E25" s="17">
        <f t="shared" si="12"/>
        <v>18.350000000000001</v>
      </c>
      <c r="F25" s="17">
        <f t="shared" si="13"/>
        <v>14.9</v>
      </c>
      <c r="G25" s="17">
        <f t="shared" si="0"/>
        <v>71.458333333333329</v>
      </c>
      <c r="H25" s="17">
        <f t="shared" si="1"/>
        <v>71.458333333333329</v>
      </c>
      <c r="I25" s="17">
        <f t="shared" si="15"/>
        <v>0</v>
      </c>
      <c r="J25" s="17">
        <f t="shared" si="14"/>
        <v>0.27173913043478259</v>
      </c>
      <c r="K25" s="17">
        <f t="shared" si="16"/>
        <v>0</v>
      </c>
      <c r="L25" s="17">
        <f t="shared" si="17"/>
        <v>0</v>
      </c>
      <c r="M25" s="17" t="str">
        <f t="shared" si="18"/>
        <v>8./15/8,6 billegő</v>
      </c>
      <c r="N25" s="17" t="e">
        <f>VLOOKUP($A25,#REF!,3,0)</f>
        <v>#REF!</v>
      </c>
      <c r="O25" t="s">
        <v>100</v>
      </c>
      <c r="P25">
        <v>10.963704215870019</v>
      </c>
      <c r="Q25" s="17">
        <v>5.8796381049241457</v>
      </c>
      <c r="R25" t="s">
        <v>100</v>
      </c>
      <c r="S25">
        <f>_xlfn.XLOOKUP(R25,'[2]szemnedvesség FAO400'!$B$5:$B$22,'[2]szemnedvesség FAO400'!$M$5:$M$22)</f>
        <v>18.350000000000001</v>
      </c>
      <c r="T25">
        <f>_xlfn.XLOOKUP(R25,'[2]szemnedvesség FAO400'!$B$5:$B$22,'[2]szemnedvesség FAO400'!$C$5:$C$22)</f>
        <v>14.9</v>
      </c>
      <c r="U25" t="s">
        <v>100</v>
      </c>
      <c r="V25" s="63">
        <f>_xlfn.XLOOKUP(U25,'[2]50% virágzás FAO400 '!$B$5:$B$22,'[2]50% virágzás FAO400 '!$I$5:$I$22)</f>
        <v>71.458333333333329</v>
      </c>
      <c r="W25" s="63">
        <v>71.458333333333329</v>
      </c>
      <c r="X25" t="s">
        <v>100</v>
      </c>
      <c r="Y25" s="17">
        <f>+_xlfn.XLOOKUP(X25,'[2]cső alatt letört tő FAO400  '!$B$5:$B$22,'[2]cső alatt letört tő FAO400  '!$M$5:$M$22)</f>
        <v>0</v>
      </c>
      <c r="Z25" s="17">
        <f>_xlfn.XLOOKUP(X25,'[2]cső alatt letört tő FAO400  '!$B$5:$B$22,'[2]cső alatt letört tő FAO400  '!$C$5:$C$22)</f>
        <v>0.27173913043478259</v>
      </c>
      <c r="AA25" t="s">
        <v>100</v>
      </c>
      <c r="AB25" s="17">
        <f>_xlfn.XLOOKUP(AA25,'[2]megdőlt tő FAO400 '!$B$5:$B$22,'[2]megdőlt tő FAO400 '!$M$5:$M$22)</f>
        <v>0</v>
      </c>
      <c r="AC25" s="17">
        <f>+(_xlfn.XLOOKUP(AA25,'[2]megdőlt tő FAO400 '!$B$5:$B$22,'[2]megdőlt tő FAO400 '!$C$5:$C$22))</f>
        <v>0</v>
      </c>
      <c r="AD25" t="s">
        <v>100</v>
      </c>
      <c r="AE25" t="s">
        <v>144</v>
      </c>
    </row>
    <row r="26" spans="1:31" x14ac:dyDescent="0.3">
      <c r="A26" s="11" t="str">
        <f t="shared" si="2"/>
        <v>P0450</v>
      </c>
      <c r="B26" s="18">
        <f t="shared" si="3"/>
        <v>10.723397964439156</v>
      </c>
      <c r="C26" s="18">
        <f t="shared" si="4"/>
        <v>6.1782714636833633</v>
      </c>
      <c r="D26" t="s">
        <v>59</v>
      </c>
      <c r="E26" s="17">
        <f t="shared" si="12"/>
        <v>16.675000000000001</v>
      </c>
      <c r="F26" s="17">
        <f t="shared" si="13"/>
        <v>16.450000000000003</v>
      </c>
      <c r="G26" s="17">
        <f t="shared" si="0"/>
        <v>71.25</v>
      </c>
      <c r="H26" s="17">
        <f t="shared" si="1"/>
        <v>71.25</v>
      </c>
      <c r="I26" s="17">
        <f t="shared" si="15"/>
        <v>0</v>
      </c>
      <c r="J26" s="17">
        <f t="shared" si="14"/>
        <v>3.6179537308569567</v>
      </c>
      <c r="K26" s="17">
        <f t="shared" si="16"/>
        <v>0</v>
      </c>
      <c r="L26" s="17">
        <f t="shared" si="17"/>
        <v>0</v>
      </c>
      <c r="M26" s="17" t="str">
        <f t="shared" si="18"/>
        <v>9./15/8,6 billegő</v>
      </c>
      <c r="N26" s="17" t="e">
        <f>VLOOKUP($A26,#REF!,3,0)</f>
        <v>#REF!</v>
      </c>
      <c r="O26" t="s">
        <v>101</v>
      </c>
      <c r="P26">
        <v>10.723397964439156</v>
      </c>
      <c r="Q26" s="17">
        <v>6.1782714636833633</v>
      </c>
      <c r="R26" t="s">
        <v>101</v>
      </c>
      <c r="S26">
        <f>_xlfn.XLOOKUP(R26,'[2]szemnedvesség FAO400'!$B$5:$B$22,'[2]szemnedvesség FAO400'!$M$5:$M$22)</f>
        <v>16.675000000000001</v>
      </c>
      <c r="T26">
        <f>_xlfn.XLOOKUP(R26,'[2]szemnedvesség FAO400'!$B$5:$B$22,'[2]szemnedvesség FAO400'!$C$5:$C$22)</f>
        <v>16.450000000000003</v>
      </c>
      <c r="U26" t="s">
        <v>101</v>
      </c>
      <c r="V26" s="63">
        <f>_xlfn.XLOOKUP(U26,'[2]50% virágzás FAO400 '!$B$5:$B$22,'[2]50% virágzás FAO400 '!$I$5:$I$22)</f>
        <v>71.25</v>
      </c>
      <c r="W26" s="63">
        <v>71.25</v>
      </c>
      <c r="X26" t="s">
        <v>101</v>
      </c>
      <c r="Y26" s="17">
        <f>+_xlfn.XLOOKUP(X26,'[2]cső alatt letört tő FAO400  '!$B$5:$B$22,'[2]cső alatt letört tő FAO400  '!$M$5:$M$22)</f>
        <v>0</v>
      </c>
      <c r="Z26" s="17">
        <f>_xlfn.XLOOKUP(X26,'[2]cső alatt letört tő FAO400  '!$B$5:$B$22,'[2]cső alatt letört tő FAO400  '!$C$5:$C$22)</f>
        <v>3.6179537308569567</v>
      </c>
      <c r="AA26" t="s">
        <v>101</v>
      </c>
      <c r="AB26" s="17">
        <f>_xlfn.XLOOKUP(AA26,'[2]megdőlt tő FAO400 '!$B$5:$B$22,'[2]megdőlt tő FAO400 '!$M$5:$M$22)</f>
        <v>0</v>
      </c>
      <c r="AC26" s="17">
        <f>+(_xlfn.XLOOKUP(AA26,'[2]megdőlt tő FAO400 '!$B$5:$B$22,'[2]megdőlt tő FAO400 '!$C$5:$C$22))</f>
        <v>0</v>
      </c>
      <c r="AD26" t="s">
        <v>101</v>
      </c>
      <c r="AE26" t="s">
        <v>145</v>
      </c>
    </row>
    <row r="27" spans="1:31" x14ac:dyDescent="0.3">
      <c r="A27" s="11" t="str">
        <f t="shared" si="2"/>
        <v>P9944_</v>
      </c>
      <c r="B27" s="18">
        <f t="shared" si="3"/>
        <v>10.544833027384513</v>
      </c>
      <c r="C27" s="18">
        <f t="shared" si="4"/>
        <v>6.0443575726756507</v>
      </c>
      <c r="D27" t="s">
        <v>59</v>
      </c>
      <c r="E27" s="17">
        <f t="shared" si="12"/>
        <v>15.574999999999999</v>
      </c>
      <c r="F27" s="17">
        <f t="shared" si="13"/>
        <v>14.375</v>
      </c>
      <c r="G27" s="17">
        <f t="shared" si="0"/>
        <v>71.875</v>
      </c>
      <c r="H27" s="17">
        <f t="shared" si="1"/>
        <v>71.875</v>
      </c>
      <c r="I27" s="17">
        <f t="shared" si="15"/>
        <v>0</v>
      </c>
      <c r="J27" s="17">
        <f t="shared" si="14"/>
        <v>0.390625</v>
      </c>
      <c r="K27" s="17">
        <f t="shared" si="16"/>
        <v>0</v>
      </c>
      <c r="L27" s="17">
        <f t="shared" si="17"/>
        <v>0</v>
      </c>
      <c r="M27" s="17" t="str">
        <f t="shared" si="18"/>
        <v>10./15/8,6 ingadozó</v>
      </c>
      <c r="N27" s="17" t="e">
        <f>VLOOKUP($A27,#REF!,3,0)</f>
        <v>#REF!</v>
      </c>
      <c r="O27" t="s">
        <v>109</v>
      </c>
      <c r="P27">
        <v>10.544833027384513</v>
      </c>
      <c r="Q27" s="17">
        <v>6.0443575726756507</v>
      </c>
      <c r="R27" t="s">
        <v>109</v>
      </c>
      <c r="S27">
        <f>_xlfn.XLOOKUP(R27,'[2]szemnedvesség FAO400'!$B$5:$B$22,'[2]szemnedvesség FAO400'!$M$5:$M$22)</f>
        <v>15.574999999999999</v>
      </c>
      <c r="T27">
        <f>_xlfn.XLOOKUP(R27,'[2]szemnedvesség FAO400'!$B$5:$B$22,'[2]szemnedvesség FAO400'!$C$5:$C$22)</f>
        <v>14.375</v>
      </c>
      <c r="U27" t="s">
        <v>109</v>
      </c>
      <c r="V27" s="63">
        <f>_xlfn.XLOOKUP(U27,'[2]50% virágzás FAO400 '!$B$5:$B$22,'[2]50% virágzás FAO400 '!$I$5:$I$22)</f>
        <v>71.875</v>
      </c>
      <c r="W27" s="63">
        <v>71.875</v>
      </c>
      <c r="X27" t="s">
        <v>109</v>
      </c>
      <c r="Y27" s="17">
        <f>+_xlfn.XLOOKUP(X27,'[2]cső alatt letört tő FAO400  '!$B$5:$B$22,'[2]cső alatt letört tő FAO400  '!$M$5:$M$22)</f>
        <v>0</v>
      </c>
      <c r="Z27" s="17">
        <f>_xlfn.XLOOKUP(X27,'[2]cső alatt letört tő FAO400  '!$B$5:$B$22,'[2]cső alatt letört tő FAO400  '!$C$5:$C$22)</f>
        <v>0.390625</v>
      </c>
      <c r="AA27" t="s">
        <v>109</v>
      </c>
      <c r="AB27" s="17">
        <f>_xlfn.XLOOKUP(AA27,'[2]megdőlt tő FAO400 '!$B$5:$B$22,'[2]megdőlt tő FAO400 '!$M$5:$M$22)</f>
        <v>0</v>
      </c>
      <c r="AC27" s="17">
        <f>+(_xlfn.XLOOKUP(AA27,'[2]megdőlt tő FAO400 '!$B$5:$B$22,'[2]megdőlt tő FAO400 '!$C$5:$C$22))</f>
        <v>0</v>
      </c>
      <c r="AD27" t="s">
        <v>109</v>
      </c>
      <c r="AE27" t="s">
        <v>146</v>
      </c>
    </row>
    <row r="28" spans="1:31" x14ac:dyDescent="0.3">
      <c r="A28" s="11" t="str">
        <f t="shared" si="2"/>
        <v>P03376</v>
      </c>
      <c r="B28" s="18">
        <f t="shared" si="3"/>
        <v>10.464960200708807</v>
      </c>
      <c r="C28" s="18">
        <f t="shared" si="4"/>
        <v>6.3574688532926524</v>
      </c>
      <c r="D28" t="s">
        <v>59</v>
      </c>
      <c r="E28" s="17">
        <f t="shared" si="12"/>
        <v>19.25</v>
      </c>
      <c r="F28" s="17">
        <f t="shared" si="13"/>
        <v>15.875</v>
      </c>
      <c r="G28" s="17">
        <f t="shared" si="0"/>
        <v>70.625</v>
      </c>
      <c r="H28" s="17">
        <f t="shared" si="1"/>
        <v>70.625</v>
      </c>
      <c r="I28" s="17">
        <f t="shared" si="15"/>
        <v>0</v>
      </c>
      <c r="J28" s="17">
        <f t="shared" si="14"/>
        <v>0.4098360655737705</v>
      </c>
      <c r="K28" s="17">
        <f t="shared" si="16"/>
        <v>0.48076923076923078</v>
      </c>
      <c r="L28" s="17">
        <f t="shared" si="17"/>
        <v>0</v>
      </c>
      <c r="M28" s="17" t="str">
        <f t="shared" si="18"/>
        <v>11./15/8,6 billegő</v>
      </c>
      <c r="N28" s="17" t="e">
        <f>VLOOKUP($A28,#REF!,3,0)</f>
        <v>#REF!</v>
      </c>
      <c r="O28" t="s">
        <v>102</v>
      </c>
      <c r="P28">
        <v>10.464960200708807</v>
      </c>
      <c r="Q28" s="17">
        <v>6.3574688532926524</v>
      </c>
      <c r="R28" t="s">
        <v>102</v>
      </c>
      <c r="S28">
        <f>_xlfn.XLOOKUP(R28,'[2]szemnedvesség FAO400'!$B$5:$B$22,'[2]szemnedvesség FAO400'!$M$5:$M$22)</f>
        <v>19.25</v>
      </c>
      <c r="T28">
        <f>_xlfn.XLOOKUP(R28,'[2]szemnedvesség FAO400'!$B$5:$B$22,'[2]szemnedvesség FAO400'!$C$5:$C$22)</f>
        <v>15.875</v>
      </c>
      <c r="U28" t="s">
        <v>102</v>
      </c>
      <c r="V28" s="63">
        <f>_xlfn.XLOOKUP(U28,'[2]50% virágzás FAO400 '!$B$5:$B$22,'[2]50% virágzás FAO400 '!$I$5:$I$22)</f>
        <v>70.625</v>
      </c>
      <c r="W28" s="63">
        <v>70.625</v>
      </c>
      <c r="X28" t="s">
        <v>102</v>
      </c>
      <c r="Y28" s="17">
        <f>+_xlfn.XLOOKUP(X28,'[2]cső alatt letört tő FAO400  '!$B$5:$B$22,'[2]cső alatt letört tő FAO400  '!$M$5:$M$22)</f>
        <v>0</v>
      </c>
      <c r="Z28" s="17">
        <f>_xlfn.XLOOKUP(X28,'[2]cső alatt letört tő FAO400  '!$B$5:$B$22,'[2]cső alatt letört tő FAO400  '!$C$5:$C$22)</f>
        <v>0.4098360655737705</v>
      </c>
      <c r="AA28" t="s">
        <v>102</v>
      </c>
      <c r="AB28" s="17">
        <f>_xlfn.XLOOKUP(AA28,'[2]megdőlt tő FAO400 '!$B$5:$B$22,'[2]megdőlt tő FAO400 '!$M$5:$M$22)</f>
        <v>0.48076923076923078</v>
      </c>
      <c r="AC28" s="17">
        <f>+(_xlfn.XLOOKUP(AA28,'[2]megdőlt tő FAO400 '!$B$5:$B$22,'[2]megdőlt tő FAO400 '!$C$5:$C$22))</f>
        <v>0</v>
      </c>
      <c r="AD28" t="s">
        <v>102</v>
      </c>
      <c r="AE28" t="s">
        <v>147</v>
      </c>
    </row>
    <row r="29" spans="1:31" x14ac:dyDescent="0.3">
      <c r="A29" s="11" t="str">
        <f t="shared" si="2"/>
        <v>P0260</v>
      </c>
      <c r="B29" s="18">
        <f t="shared" si="3"/>
        <v>10.814409048447947</v>
      </c>
      <c r="C29" s="18">
        <f t="shared" si="4"/>
        <v>6.2241588270192381</v>
      </c>
      <c r="D29" t="s">
        <v>59</v>
      </c>
      <c r="E29" s="17">
        <f t="shared" si="12"/>
        <v>18.55</v>
      </c>
      <c r="F29" s="17">
        <f t="shared" si="13"/>
        <v>15.875</v>
      </c>
      <c r="G29" s="17">
        <f t="shared" si="0"/>
        <v>72.166666666666671</v>
      </c>
      <c r="H29" s="17">
        <f t="shared" si="1"/>
        <v>72.166666666666671</v>
      </c>
      <c r="I29" s="17">
        <f t="shared" si="15"/>
        <v>0</v>
      </c>
      <c r="J29" s="17">
        <f t="shared" si="14"/>
        <v>18.266374024526197</v>
      </c>
      <c r="K29" s="17">
        <f t="shared" si="16"/>
        <v>0</v>
      </c>
      <c r="L29" s="17">
        <f t="shared" si="17"/>
        <v>0</v>
      </c>
      <c r="M29" s="17" t="str">
        <f t="shared" si="18"/>
        <v>12./15/8,6 Kérdezz!</v>
      </c>
      <c r="N29" s="17" t="e">
        <f>VLOOKUP($A29,#REF!,3,0)</f>
        <v>#REF!</v>
      </c>
      <c r="O29" t="s">
        <v>103</v>
      </c>
      <c r="P29">
        <v>10.814409048447947</v>
      </c>
      <c r="Q29" s="17">
        <v>6.2241588270192381</v>
      </c>
      <c r="R29" t="s">
        <v>103</v>
      </c>
      <c r="S29">
        <f>_xlfn.XLOOKUP(R29,'[2]szemnedvesség FAO400'!$B$5:$B$22,'[2]szemnedvesség FAO400'!$M$5:$M$22)</f>
        <v>18.55</v>
      </c>
      <c r="T29">
        <f>_xlfn.XLOOKUP(R29,'[2]szemnedvesség FAO400'!$B$5:$B$22,'[2]szemnedvesség FAO400'!$C$5:$C$22)</f>
        <v>15.875</v>
      </c>
      <c r="U29" t="s">
        <v>103</v>
      </c>
      <c r="V29" s="63">
        <f>_xlfn.XLOOKUP(U29,'[2]50% virágzás FAO400 '!$B$5:$B$22,'[2]50% virágzás FAO400 '!$I$5:$I$22)</f>
        <v>72.166666666666671</v>
      </c>
      <c r="W29" s="63">
        <v>72.166666666666671</v>
      </c>
      <c r="X29" t="s">
        <v>103</v>
      </c>
      <c r="Y29" s="17">
        <f>+_xlfn.XLOOKUP(X29,'[2]cső alatt letört tő FAO400  '!$B$5:$B$22,'[2]cső alatt letört tő FAO400  '!$M$5:$M$22)</f>
        <v>0</v>
      </c>
      <c r="Z29" s="17">
        <f>_xlfn.XLOOKUP(X29,'[2]cső alatt letört tő FAO400  '!$B$5:$B$22,'[2]cső alatt letört tő FAO400  '!$C$5:$C$22)</f>
        <v>18.266374024526197</v>
      </c>
      <c r="AA29" t="s">
        <v>103</v>
      </c>
      <c r="AB29" s="17">
        <f>_xlfn.XLOOKUP(AA29,'[2]megdőlt tő FAO400 '!$B$5:$B$22,'[2]megdőlt tő FAO400 '!$M$5:$M$22)</f>
        <v>0</v>
      </c>
      <c r="AC29" s="17">
        <f>+(_xlfn.XLOOKUP(AA29,'[2]megdőlt tő FAO400 '!$B$5:$B$22,'[2]megdőlt tő FAO400 '!$C$5:$C$22))</f>
        <v>0</v>
      </c>
      <c r="AD29" t="s">
        <v>103</v>
      </c>
      <c r="AE29" t="s">
        <v>148</v>
      </c>
    </row>
    <row r="30" spans="1:31" x14ac:dyDescent="0.3">
      <c r="A30" s="11" t="str">
        <f t="shared" si="2"/>
        <v>KABARETTO</v>
      </c>
      <c r="B30" s="18">
        <f t="shared" si="3"/>
        <v>9.8665092583611695</v>
      </c>
      <c r="C30" s="18">
        <f t="shared" si="4"/>
        <v>6.1603695228409183</v>
      </c>
      <c r="D30" t="s">
        <v>59</v>
      </c>
      <c r="E30" s="17">
        <f t="shared" si="12"/>
        <v>17.649999999999999</v>
      </c>
      <c r="F30" s="17">
        <f t="shared" si="13"/>
        <v>16.875</v>
      </c>
      <c r="G30" s="17">
        <f t="shared" si="0"/>
        <v>72.083333333333329</v>
      </c>
      <c r="H30" s="17">
        <f t="shared" si="1"/>
        <v>72.083333333333329</v>
      </c>
      <c r="I30" s="17">
        <f t="shared" si="15"/>
        <v>0</v>
      </c>
      <c r="J30" s="17">
        <f t="shared" si="14"/>
        <v>0</v>
      </c>
      <c r="K30" s="17">
        <f t="shared" si="16"/>
        <v>0.78947368421052633</v>
      </c>
      <c r="L30" s="17">
        <f t="shared" si="17"/>
        <v>0</v>
      </c>
      <c r="M30" s="17" t="str">
        <f t="shared" si="18"/>
        <v>13./15/8,6 billegő</v>
      </c>
      <c r="N30" s="17" t="e">
        <f>VLOOKUP($A30,#REF!,3,0)</f>
        <v>#REF!</v>
      </c>
      <c r="O30" t="s">
        <v>104</v>
      </c>
      <c r="P30">
        <v>9.8665092583611695</v>
      </c>
      <c r="Q30" s="17">
        <v>6.1603695228409183</v>
      </c>
      <c r="R30" t="s">
        <v>104</v>
      </c>
      <c r="S30">
        <f>_xlfn.XLOOKUP(R30,'[2]szemnedvesség FAO400'!$B$5:$B$22,'[2]szemnedvesség FAO400'!$M$5:$M$22)</f>
        <v>17.649999999999999</v>
      </c>
      <c r="T30">
        <f>_xlfn.XLOOKUP(R30,'[2]szemnedvesség FAO400'!$B$5:$B$22,'[2]szemnedvesség FAO400'!$C$5:$C$22)</f>
        <v>16.875</v>
      </c>
      <c r="U30" t="s">
        <v>104</v>
      </c>
      <c r="V30" s="63">
        <f>_xlfn.XLOOKUP(U30,'[2]50% virágzás FAO400 '!$B$5:$B$22,'[2]50% virágzás FAO400 '!$I$5:$I$22)</f>
        <v>72.083333333333329</v>
      </c>
      <c r="W30" s="63">
        <v>72.083333333333329</v>
      </c>
      <c r="X30" t="s">
        <v>104</v>
      </c>
      <c r="Y30" s="17">
        <f>+_xlfn.XLOOKUP(X30,'[2]cső alatt letört tő FAO400  '!$B$5:$B$22,'[2]cső alatt letört tő FAO400  '!$M$5:$M$22)</f>
        <v>0</v>
      </c>
      <c r="Z30" s="17">
        <f>_xlfn.XLOOKUP(X30,'[2]cső alatt letört tő FAO400  '!$B$5:$B$22,'[2]cső alatt letört tő FAO400  '!$C$5:$C$22)</f>
        <v>0</v>
      </c>
      <c r="AA30" t="s">
        <v>104</v>
      </c>
      <c r="AB30" s="17">
        <f>_xlfn.XLOOKUP(AA30,'[2]megdőlt tő FAO400 '!$B$5:$B$22,'[2]megdőlt tő FAO400 '!$M$5:$M$22)</f>
        <v>0.78947368421052633</v>
      </c>
      <c r="AC30" s="17">
        <f>+(_xlfn.XLOOKUP(AA30,'[2]megdőlt tő FAO400 '!$B$5:$B$22,'[2]megdőlt tő FAO400 '!$C$5:$C$22))</f>
        <v>0</v>
      </c>
      <c r="AD30" t="s">
        <v>104</v>
      </c>
      <c r="AE30" t="s">
        <v>149</v>
      </c>
    </row>
    <row r="31" spans="1:31" x14ac:dyDescent="0.3">
      <c r="A31" s="11" t="str">
        <f t="shared" si="2"/>
        <v>RGT Mexxini</v>
      </c>
      <c r="B31" s="18">
        <f t="shared" si="3"/>
        <v>10.535367427301065</v>
      </c>
      <c r="C31" s="18">
        <f t="shared" si="4"/>
        <v>6.0308055767437914</v>
      </c>
      <c r="D31" t="s">
        <v>59</v>
      </c>
      <c r="E31" s="17">
        <f t="shared" si="12"/>
        <v>20.25</v>
      </c>
      <c r="F31" s="17">
        <f t="shared" si="13"/>
        <v>16.600000000000001</v>
      </c>
      <c r="G31" s="17">
        <f t="shared" si="0"/>
        <v>74.125</v>
      </c>
      <c r="H31" s="17">
        <f t="shared" si="1"/>
        <v>74.125</v>
      </c>
      <c r="I31" s="17">
        <f t="shared" si="15"/>
        <v>0</v>
      </c>
      <c r="J31" s="17">
        <f t="shared" si="14"/>
        <v>0.26881720430107531</v>
      </c>
      <c r="K31" s="17">
        <f t="shared" si="16"/>
        <v>0.5</v>
      </c>
      <c r="L31" s="17">
        <f t="shared" si="17"/>
        <v>0</v>
      </c>
      <c r="M31" s="17" t="str">
        <f t="shared" si="18"/>
        <v>14./15/8,6 billegő</v>
      </c>
      <c r="N31" s="17" t="e">
        <f>VLOOKUP($A31,#REF!,3,0)</f>
        <v>#REF!</v>
      </c>
      <c r="O31" t="s">
        <v>105</v>
      </c>
      <c r="P31">
        <v>10.535367427301065</v>
      </c>
      <c r="Q31" s="17">
        <v>6.0308055767437914</v>
      </c>
      <c r="R31" t="s">
        <v>105</v>
      </c>
      <c r="S31">
        <f>_xlfn.XLOOKUP(R31,'[2]szemnedvesség FAO400'!$B$5:$B$22,'[2]szemnedvesség FAO400'!$M$5:$M$22)</f>
        <v>20.25</v>
      </c>
      <c r="T31">
        <f>_xlfn.XLOOKUP(R31,'[2]szemnedvesség FAO400'!$B$5:$B$22,'[2]szemnedvesség FAO400'!$C$5:$C$22)</f>
        <v>16.600000000000001</v>
      </c>
      <c r="U31" t="s">
        <v>105</v>
      </c>
      <c r="V31" s="63">
        <f>_xlfn.XLOOKUP(U31,'[2]50% virágzás FAO400 '!$B$5:$B$22,'[2]50% virágzás FAO400 '!$I$5:$I$22)</f>
        <v>74.125</v>
      </c>
      <c r="W31" s="63">
        <v>74.125</v>
      </c>
      <c r="X31" t="s">
        <v>105</v>
      </c>
      <c r="Y31" s="17">
        <f>+_xlfn.XLOOKUP(X31,'[2]cső alatt letört tő FAO400  '!$B$5:$B$22,'[2]cső alatt letört tő FAO400  '!$M$5:$M$22)</f>
        <v>0</v>
      </c>
      <c r="Z31" s="17">
        <f>_xlfn.XLOOKUP(X31,'[2]cső alatt letört tő FAO400  '!$B$5:$B$22,'[2]cső alatt letört tő FAO400  '!$C$5:$C$22)</f>
        <v>0.26881720430107531</v>
      </c>
      <c r="AA31" t="s">
        <v>105</v>
      </c>
      <c r="AB31" s="17">
        <f>_xlfn.XLOOKUP(AA31,'[2]megdőlt tő FAO400 '!$B$5:$B$22,'[2]megdőlt tő FAO400 '!$M$5:$M$22)</f>
        <v>0.5</v>
      </c>
      <c r="AC31" s="17">
        <f>+(_xlfn.XLOOKUP(AA31,'[2]megdőlt tő FAO400 '!$B$5:$B$22,'[2]megdőlt tő FAO400 '!$C$5:$C$22))</f>
        <v>0</v>
      </c>
      <c r="AD31" t="s">
        <v>105</v>
      </c>
      <c r="AE31" t="s">
        <v>150</v>
      </c>
    </row>
    <row r="32" spans="1:31" x14ac:dyDescent="0.3">
      <c r="A32" s="11" t="str">
        <f t="shared" si="2"/>
        <v>P0725</v>
      </c>
      <c r="B32" s="18">
        <f t="shared" si="3"/>
        <v>10.559736271985372</v>
      </c>
      <c r="C32" s="18">
        <f t="shared" si="4"/>
        <v>5.3473583717748472</v>
      </c>
      <c r="D32" t="s">
        <v>59</v>
      </c>
      <c r="E32" s="17">
        <f t="shared" si="12"/>
        <v>23.4</v>
      </c>
      <c r="F32" s="17">
        <f t="shared" si="13"/>
        <v>16.75</v>
      </c>
      <c r="G32" s="17">
        <f t="shared" si="0"/>
        <v>76.333333333333329</v>
      </c>
      <c r="H32" s="17">
        <f t="shared" si="1"/>
        <v>76.333333333333329</v>
      </c>
      <c r="I32" s="17">
        <f t="shared" si="15"/>
        <v>0</v>
      </c>
      <c r="J32" s="17">
        <f t="shared" si="14"/>
        <v>0</v>
      </c>
      <c r="K32" s="17">
        <f t="shared" si="16"/>
        <v>0</v>
      </c>
      <c r="L32" s="17">
        <f t="shared" si="17"/>
        <v>0</v>
      </c>
      <c r="M32" s="17" t="str">
        <f t="shared" si="18"/>
        <v>15./15/8,6 Kérdezz!</v>
      </c>
      <c r="N32" s="17" t="e">
        <f>VLOOKUP($A32,#REF!,3,0)</f>
        <v>#REF!</v>
      </c>
      <c r="O32" t="s">
        <v>58</v>
      </c>
      <c r="P32">
        <v>10.559736271985372</v>
      </c>
      <c r="Q32" s="17">
        <v>5.3473583717748472</v>
      </c>
      <c r="R32" t="s">
        <v>58</v>
      </c>
      <c r="S32">
        <f>_xlfn.XLOOKUP(R32,'[2]szemnedvesség FAO400'!$B$5:$B$22,'[2]szemnedvesség FAO400'!$M$5:$M$22)</f>
        <v>23.4</v>
      </c>
      <c r="T32">
        <f>_xlfn.XLOOKUP(R32,'[2]szemnedvesség FAO400'!$B$5:$B$22,'[2]szemnedvesség FAO400'!$C$5:$C$22)</f>
        <v>16.75</v>
      </c>
      <c r="U32" t="s">
        <v>58</v>
      </c>
      <c r="V32" s="63">
        <f>_xlfn.XLOOKUP(U32,'[2]50% virágzás FAO400 '!$B$5:$B$22,'[2]50% virágzás FAO400 '!$I$5:$I$22)</f>
        <v>76.333333333333329</v>
      </c>
      <c r="W32" s="63">
        <v>76.333333333333329</v>
      </c>
      <c r="X32" t="s">
        <v>58</v>
      </c>
      <c r="Y32" s="17">
        <f>+_xlfn.XLOOKUP(X32,'[2]cső alatt letört tő FAO400  '!$B$5:$B$22,'[2]cső alatt letört tő FAO400  '!$M$5:$M$22)</f>
        <v>0</v>
      </c>
      <c r="Z32" s="17">
        <f>_xlfn.XLOOKUP(X32,'[2]cső alatt letört tő FAO400  '!$B$5:$B$22,'[2]cső alatt letört tő FAO400  '!$C$5:$C$22)</f>
        <v>0</v>
      </c>
      <c r="AA32" t="s">
        <v>58</v>
      </c>
      <c r="AB32" s="17">
        <f>_xlfn.XLOOKUP(AA32,'[2]megdőlt tő FAO400 '!$B$5:$B$22,'[2]megdőlt tő FAO400 '!$M$5:$M$22)</f>
        <v>0</v>
      </c>
      <c r="AC32" s="17">
        <f>+(_xlfn.XLOOKUP(AA32,'[2]megdőlt tő FAO400 '!$B$5:$B$22,'[2]megdőlt tő FAO400 '!$C$5:$C$22))</f>
        <v>0</v>
      </c>
      <c r="AD32" t="s">
        <v>58</v>
      </c>
      <c r="AE32" t="s">
        <v>151</v>
      </c>
    </row>
    <row r="33" spans="1:30" x14ac:dyDescent="0.3">
      <c r="A33" s="11" t="str">
        <f t="shared" si="2"/>
        <v>Átlag_közép</v>
      </c>
      <c r="B33" s="18">
        <f t="shared" si="3"/>
        <v>10.727296574676441</v>
      </c>
      <c r="C33" s="18">
        <f t="shared" si="4"/>
        <v>6.2555392826020206</v>
      </c>
      <c r="D33" t="s">
        <v>59</v>
      </c>
      <c r="E33" s="17">
        <f t="shared" si="12"/>
        <v>18.306666666666672</v>
      </c>
      <c r="F33" s="17">
        <f t="shared" si="13"/>
        <v>16.026666666666664</v>
      </c>
      <c r="G33" s="17">
        <f t="shared" si="0"/>
        <v>71.525000000000006</v>
      </c>
      <c r="H33" s="17">
        <f t="shared" si="1"/>
        <v>71.525000000000006</v>
      </c>
      <c r="I33" s="17">
        <f t="shared" si="15"/>
        <v>1.7006802721088437E-2</v>
      </c>
      <c r="J33" s="17">
        <f t="shared" si="14"/>
        <v>2.0922044808272835</v>
      </c>
      <c r="K33" s="17">
        <f t="shared" si="16"/>
        <v>0.11801619433198381</v>
      </c>
      <c r="L33" s="17">
        <f t="shared" si="17"/>
        <v>1.6666666666666666E-2</v>
      </c>
      <c r="M33" s="17">
        <f t="shared" si="18"/>
        <v>0</v>
      </c>
      <c r="N33" s="17" t="e">
        <f>VLOOKUP($A33,#REF!,3,0)</f>
        <v>#REF!</v>
      </c>
      <c r="O33" t="s">
        <v>50</v>
      </c>
      <c r="P33">
        <v>10.727296574676441</v>
      </c>
      <c r="Q33" s="17">
        <v>6.2555392826020206</v>
      </c>
      <c r="R33" t="s">
        <v>50</v>
      </c>
      <c r="S33">
        <f>_xlfn.XLOOKUP(R33,'[2]szemnedvesség FAO400'!$B$5:$B$22,'[2]szemnedvesség FAO400'!$M$5:$M$22)</f>
        <v>18.306666666666672</v>
      </c>
      <c r="T33">
        <f>_xlfn.XLOOKUP(R33,'[2]szemnedvesség FAO400'!$B$5:$B$22,'[2]szemnedvesség FAO400'!$C$5:$C$22)</f>
        <v>16.026666666666664</v>
      </c>
      <c r="U33" t="s">
        <v>50</v>
      </c>
      <c r="V33" s="63">
        <f>_xlfn.XLOOKUP(U33,'[2]50% virágzás FAO400 '!$B$5:$B$22,'[2]50% virágzás FAO400 '!$I$5:$I$22)</f>
        <v>71.525000000000006</v>
      </c>
      <c r="W33" s="63">
        <v>71.525000000000006</v>
      </c>
      <c r="X33" t="s">
        <v>50</v>
      </c>
      <c r="Y33" s="17">
        <f>+_xlfn.XLOOKUP(X33,'[2]cső alatt letört tő FAO400  '!$B$5:$B$22,'[2]cső alatt letört tő FAO400  '!$M$5:$M$22)</f>
        <v>1.7006802721088437E-2</v>
      </c>
      <c r="Z33" s="17">
        <f>_xlfn.XLOOKUP(X33,'[2]cső alatt letört tő FAO400  '!$B$5:$B$22,'[2]cső alatt letört tő FAO400  '!$C$5:$C$22)</f>
        <v>2.0922044808272835</v>
      </c>
      <c r="AA33" t="s">
        <v>50</v>
      </c>
      <c r="AB33" s="17">
        <f>_xlfn.XLOOKUP(AA33,'[2]megdőlt tő FAO400 '!$B$5:$B$22,'[2]megdőlt tő FAO400 '!$M$5:$M$22)</f>
        <v>0.11801619433198381</v>
      </c>
      <c r="AC33" s="17">
        <f>+(_xlfn.XLOOKUP(AA33,'[2]megdőlt tő FAO400 '!$B$5:$B$22,'[2]megdőlt tő FAO400 '!$C$5:$C$22))</f>
        <v>1.6666666666666666E-2</v>
      </c>
      <c r="AD33" t="s">
        <v>50</v>
      </c>
    </row>
    <row r="34" spans="1:30" x14ac:dyDescent="0.3">
      <c r="A34" s="11" t="str">
        <f t="shared" si="2"/>
        <v>maximum_közép</v>
      </c>
      <c r="B34" s="18">
        <f t="shared" si="3"/>
        <v>11.71286419318456</v>
      </c>
      <c r="C34" s="18">
        <f t="shared" si="4"/>
        <v>6.962719298245613</v>
      </c>
      <c r="D34" t="s">
        <v>59</v>
      </c>
      <c r="E34" s="17">
        <f t="shared" si="12"/>
        <v>23.4</v>
      </c>
      <c r="F34" s="17">
        <f t="shared" si="13"/>
        <v>18.349999999999998</v>
      </c>
      <c r="G34" s="17">
        <f t="shared" si="0"/>
        <v>76.333333333333329</v>
      </c>
      <c r="H34" s="17">
        <f t="shared" si="1"/>
        <v>76.333333333333329</v>
      </c>
      <c r="I34" s="17">
        <f t="shared" si="15"/>
        <v>0.25510204081632654</v>
      </c>
      <c r="J34" s="17">
        <f t="shared" si="14"/>
        <v>18.266374024526197</v>
      </c>
      <c r="K34" s="17">
        <f t="shared" si="16"/>
        <v>0.78947368421052633</v>
      </c>
      <c r="L34" s="17">
        <f t="shared" si="17"/>
        <v>0.25</v>
      </c>
      <c r="M34" s="17">
        <f t="shared" si="18"/>
        <v>0</v>
      </c>
      <c r="N34" s="17" t="e">
        <f>VLOOKUP($A34,#REF!,3,0)</f>
        <v>#REF!</v>
      </c>
      <c r="O34" t="s">
        <v>106</v>
      </c>
      <c r="P34">
        <v>11.71286419318456</v>
      </c>
      <c r="Q34" s="17">
        <v>6.962719298245613</v>
      </c>
      <c r="R34" t="s">
        <v>106</v>
      </c>
      <c r="S34">
        <f>_xlfn.XLOOKUP(R34,'[2]szemnedvesség FAO400'!$B$5:$B$22,'[2]szemnedvesség FAO400'!$M$5:$M$22)</f>
        <v>23.4</v>
      </c>
      <c r="T34">
        <f>_xlfn.XLOOKUP(R34,'[2]szemnedvesség FAO400'!$B$5:$B$22,'[2]szemnedvesség FAO400'!$C$5:$C$22)</f>
        <v>18.349999999999998</v>
      </c>
      <c r="U34" t="s">
        <v>106</v>
      </c>
      <c r="V34" s="63">
        <f>_xlfn.XLOOKUP(U34,'[2]50% virágzás FAO400 '!$B$5:$B$22,'[2]50% virágzás FAO400 '!$I$5:$I$22)</f>
        <v>76.333333333333329</v>
      </c>
      <c r="W34" s="63">
        <v>76.333333333333329</v>
      </c>
      <c r="X34" t="s">
        <v>106</v>
      </c>
      <c r="Y34" s="17">
        <f>+_xlfn.XLOOKUP(X34,'[2]cső alatt letört tő FAO400  '!$B$5:$B$22,'[2]cső alatt letört tő FAO400  '!$M$5:$M$22)</f>
        <v>0.25510204081632654</v>
      </c>
      <c r="Z34" s="17">
        <f>_xlfn.XLOOKUP(X34,'[2]cső alatt letört tő FAO400  '!$B$5:$B$22,'[2]cső alatt letört tő FAO400  '!$C$5:$C$22)</f>
        <v>18.266374024526197</v>
      </c>
      <c r="AA34" t="s">
        <v>106</v>
      </c>
      <c r="AB34" s="17">
        <f>_xlfn.XLOOKUP(AA34,'[2]megdőlt tő FAO400 '!$B$5:$B$22,'[2]megdőlt tő FAO400 '!$M$5:$M$22)</f>
        <v>0.78947368421052633</v>
      </c>
      <c r="AC34" s="17">
        <f>+(_xlfn.XLOOKUP(AA34,'[2]megdőlt tő FAO400 '!$B$5:$B$22,'[2]megdőlt tő FAO400 '!$C$5:$C$22))</f>
        <v>0.25</v>
      </c>
      <c r="AD34" t="s">
        <v>106</v>
      </c>
    </row>
    <row r="35" spans="1:30" x14ac:dyDescent="0.3">
      <c r="A35" s="11" t="str">
        <f t="shared" si="2"/>
        <v>minimum_közép</v>
      </c>
      <c r="B35" s="18">
        <f t="shared" si="3"/>
        <v>9.4339426810642895</v>
      </c>
      <c r="C35" s="18">
        <f t="shared" si="4"/>
        <v>5.3473583717748472</v>
      </c>
      <c r="D35" t="s">
        <v>59</v>
      </c>
      <c r="E35" s="17">
        <f t="shared" si="12"/>
        <v>15.425000000000001</v>
      </c>
      <c r="F35" s="17">
        <f t="shared" si="13"/>
        <v>14.25</v>
      </c>
      <c r="G35" s="17">
        <f t="shared" si="0"/>
        <v>68.041666666666671</v>
      </c>
      <c r="H35" s="17">
        <f t="shared" si="1"/>
        <v>68.041666666666671</v>
      </c>
      <c r="I35" s="17">
        <f t="shared" si="15"/>
        <v>0</v>
      </c>
      <c r="J35" s="17">
        <f t="shared" si="14"/>
        <v>0</v>
      </c>
      <c r="K35" s="17">
        <f t="shared" si="16"/>
        <v>0</v>
      </c>
      <c r="L35" s="17">
        <f t="shared" si="17"/>
        <v>0</v>
      </c>
      <c r="M35" s="17">
        <f t="shared" si="18"/>
        <v>0</v>
      </c>
      <c r="N35" s="17" t="e">
        <f>VLOOKUP($A35,#REF!,3,0)</f>
        <v>#REF!</v>
      </c>
      <c r="O35" t="s">
        <v>107</v>
      </c>
      <c r="P35">
        <v>9.4339426810642895</v>
      </c>
      <c r="Q35" s="17">
        <v>5.3473583717748472</v>
      </c>
      <c r="R35" t="s">
        <v>107</v>
      </c>
      <c r="S35">
        <f>_xlfn.XLOOKUP(R35,'[2]szemnedvesség FAO400'!$B$5:$B$22,'[2]szemnedvesség FAO400'!$M$5:$M$22)</f>
        <v>15.425000000000001</v>
      </c>
      <c r="T35">
        <f>_xlfn.XLOOKUP(R35,'[2]szemnedvesség FAO400'!$B$5:$B$22,'[2]szemnedvesség FAO400'!$C$5:$C$22)</f>
        <v>14.25</v>
      </c>
      <c r="U35" t="s">
        <v>107</v>
      </c>
      <c r="V35" s="63">
        <f>_xlfn.XLOOKUP(U35,'[2]50% virágzás FAO400 '!$B$5:$B$22,'[2]50% virágzás FAO400 '!$I$5:$I$22)</f>
        <v>68.041666666666671</v>
      </c>
      <c r="W35" s="63">
        <v>68.041666666666671</v>
      </c>
      <c r="X35" t="s">
        <v>107</v>
      </c>
      <c r="Y35" s="17">
        <f>+_xlfn.XLOOKUP(X35,'[2]cső alatt letört tő FAO400  '!$B$5:$B$22,'[2]cső alatt letört tő FAO400  '!$M$5:$M$22)</f>
        <v>0</v>
      </c>
      <c r="Z35" s="17">
        <f>_xlfn.XLOOKUP(X35,'[2]cső alatt letört tő FAO400  '!$B$5:$B$22,'[2]cső alatt letört tő FAO400  '!$C$5:$C$22)</f>
        <v>0</v>
      </c>
      <c r="AA35" t="s">
        <v>107</v>
      </c>
      <c r="AB35" s="17">
        <f>_xlfn.XLOOKUP(AA35,'[2]megdőlt tő FAO400 '!$B$5:$B$22,'[2]megdőlt tő FAO400 '!$M$5:$M$22)</f>
        <v>0</v>
      </c>
      <c r="AC35" s="17">
        <f>+(_xlfn.XLOOKUP(AA35,'[2]megdőlt tő FAO400 '!$B$5:$B$22,'[2]megdőlt tő FAO400 '!$C$5:$C$22))</f>
        <v>0</v>
      </c>
      <c r="AD35" t="s">
        <v>107</v>
      </c>
    </row>
  </sheetData>
  <autoFilter ref="A1:Q35" xr:uid="{95734A0C-F1AB-4ED8-9708-EF1E59AEC4FF}"/>
  <phoneticPr fontId="6" type="noConversion"/>
  <conditionalFormatting sqref="B1:C1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F596-A8F1-4E2F-B20F-33069689ED32}">
  <sheetPr>
    <tabColor rgb="FF00B0F0"/>
  </sheetPr>
  <dimension ref="A1:T17"/>
  <sheetViews>
    <sheetView workbookViewId="0">
      <selection sqref="A1:XFD1"/>
    </sheetView>
  </sheetViews>
  <sheetFormatPr defaultRowHeight="14.4" x14ac:dyDescent="0.3"/>
  <sheetData>
    <row r="1" spans="1:20" s="7" customFormat="1" ht="18" x14ac:dyDescent="0.35">
      <c r="F1" s="8" t="s">
        <v>17</v>
      </c>
      <c r="G1" s="8" t="s">
        <v>18</v>
      </c>
      <c r="H1" s="8" t="s">
        <v>19</v>
      </c>
      <c r="I1" s="8" t="s">
        <v>20</v>
      </c>
      <c r="J1" s="8" t="s">
        <v>21</v>
      </c>
      <c r="K1" s="8" t="s">
        <v>22</v>
      </c>
      <c r="L1" s="8" t="s">
        <v>23</v>
      </c>
      <c r="M1" s="8" t="s">
        <v>24</v>
      </c>
      <c r="N1" s="8" t="s">
        <v>25</v>
      </c>
      <c r="O1" s="8" t="s">
        <v>26</v>
      </c>
      <c r="P1" s="8" t="s">
        <v>27</v>
      </c>
      <c r="Q1" s="8" t="s">
        <v>28</v>
      </c>
      <c r="R1" s="8" t="s">
        <v>29</v>
      </c>
      <c r="S1" s="8" t="s">
        <v>30</v>
      </c>
      <c r="T1" s="8" t="s">
        <v>31</v>
      </c>
    </row>
    <row r="2" spans="1:20" x14ac:dyDescent="0.3">
      <c r="A2" s="2"/>
      <c r="B2" s="2"/>
      <c r="C2" s="2"/>
      <c r="E2" t="s">
        <v>16</v>
      </c>
      <c r="F2" s="2">
        <v>14</v>
      </c>
      <c r="G2" s="2">
        <v>13.5</v>
      </c>
      <c r="H2" s="2">
        <v>13</v>
      </c>
      <c r="I2" s="2">
        <v>13</v>
      </c>
      <c r="J2" s="2">
        <v>12</v>
      </c>
      <c r="K2" s="2">
        <v>11.5</v>
      </c>
      <c r="L2" s="2">
        <v>11</v>
      </c>
      <c r="M2" s="2">
        <v>10.5</v>
      </c>
      <c r="N2" s="2">
        <v>10</v>
      </c>
      <c r="O2" s="2">
        <v>14</v>
      </c>
      <c r="P2" s="2">
        <v>9</v>
      </c>
      <c r="Q2" s="2">
        <v>8.5</v>
      </c>
      <c r="R2" s="2">
        <v>8</v>
      </c>
      <c r="S2" s="2">
        <v>7.5</v>
      </c>
      <c r="T2" s="2">
        <v>7</v>
      </c>
    </row>
    <row r="3" spans="1:20" x14ac:dyDescent="0.3">
      <c r="A3" s="2"/>
      <c r="B3" s="2"/>
      <c r="C3" s="2"/>
      <c r="E3" t="s">
        <v>32</v>
      </c>
      <c r="F3" s="2">
        <v>9</v>
      </c>
      <c r="G3" s="2">
        <v>7.5</v>
      </c>
      <c r="H3" s="2">
        <v>8</v>
      </c>
      <c r="I3" s="2">
        <v>15</v>
      </c>
      <c r="J3" s="2">
        <v>9</v>
      </c>
      <c r="K3" s="2">
        <v>9.5</v>
      </c>
      <c r="L3" s="2">
        <v>14</v>
      </c>
      <c r="M3" s="2">
        <v>10.5</v>
      </c>
      <c r="N3" s="2">
        <v>11</v>
      </c>
      <c r="O3" s="2">
        <v>13</v>
      </c>
      <c r="P3" s="2">
        <v>12</v>
      </c>
      <c r="Q3" s="2">
        <v>12.5</v>
      </c>
      <c r="R3" s="2">
        <v>13</v>
      </c>
      <c r="S3" s="2">
        <v>13.5</v>
      </c>
      <c r="T3" s="2">
        <v>14</v>
      </c>
    </row>
    <row r="4" spans="1:20" x14ac:dyDescent="0.3">
      <c r="A4" s="2"/>
      <c r="B4" s="2"/>
      <c r="C4" s="2"/>
    </row>
    <row r="5" spans="1:20" x14ac:dyDescent="0.3">
      <c r="A5" s="2"/>
      <c r="B5" s="2"/>
      <c r="C5" s="2"/>
    </row>
    <row r="6" spans="1:20" x14ac:dyDescent="0.3">
      <c r="A6" s="2"/>
      <c r="B6" s="2"/>
      <c r="C6" s="2"/>
    </row>
    <row r="7" spans="1:20" x14ac:dyDescent="0.3">
      <c r="A7" s="2"/>
      <c r="B7" s="2"/>
      <c r="C7" s="2"/>
    </row>
    <row r="8" spans="1:20" x14ac:dyDescent="0.3">
      <c r="A8" s="2"/>
      <c r="B8" s="2"/>
      <c r="C8" s="2"/>
    </row>
    <row r="9" spans="1:20" x14ac:dyDescent="0.3">
      <c r="A9" s="2"/>
      <c r="B9" s="2"/>
      <c r="C9" s="2"/>
    </row>
    <row r="10" spans="1:20" x14ac:dyDescent="0.3">
      <c r="A10" s="2"/>
      <c r="B10" s="2"/>
      <c r="C10" s="2"/>
    </row>
    <row r="11" spans="1:20" x14ac:dyDescent="0.3">
      <c r="A11" s="2"/>
      <c r="B11" s="2"/>
      <c r="C11" s="2"/>
    </row>
    <row r="12" spans="1:20" x14ac:dyDescent="0.3">
      <c r="A12" s="2"/>
      <c r="B12" s="2"/>
      <c r="C12" s="2"/>
    </row>
    <row r="13" spans="1:20" x14ac:dyDescent="0.3">
      <c r="A13" s="2"/>
      <c r="B13" s="2"/>
      <c r="C13" s="2"/>
    </row>
    <row r="14" spans="1:20" x14ac:dyDescent="0.3">
      <c r="A14" s="2"/>
      <c r="B14" s="2"/>
      <c r="C14" s="2"/>
    </row>
    <row r="15" spans="1:20" x14ac:dyDescent="0.3">
      <c r="A15" s="2"/>
      <c r="B15" s="2"/>
      <c r="C15" s="2"/>
    </row>
    <row r="16" spans="1:20" x14ac:dyDescent="0.3">
      <c r="A16" s="2"/>
      <c r="B16" s="2"/>
      <c r="C16" s="2"/>
    </row>
    <row r="17" spans="1:3" x14ac:dyDescent="0.3">
      <c r="A17" s="2"/>
      <c r="B17" s="2"/>
      <c r="C17" s="2"/>
    </row>
  </sheetData>
  <sortState xmlns:xlrd2="http://schemas.microsoft.com/office/spreadsheetml/2017/richdata2" ref="B2:B16">
    <sortCondition descending="1" ref="B2:B1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info</vt:lpstr>
      <vt:lpstr>Trend</vt:lpstr>
      <vt:lpstr>KRITÉRIUM</vt:lpstr>
      <vt:lpstr>Adatok</vt:lpstr>
      <vt:lpstr>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Szieberth Dénes</dc:creator>
  <cp:lastModifiedBy>Dénes Szieberth</cp:lastModifiedBy>
  <cp:lastPrinted>2022-10-16T17:19:29Z</cp:lastPrinted>
  <dcterms:created xsi:type="dcterms:W3CDTF">2022-10-16T14:03:29Z</dcterms:created>
  <dcterms:modified xsi:type="dcterms:W3CDTF">2026-02-01T14:50:02Z</dcterms:modified>
</cp:coreProperties>
</file>